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8_{7064D10D-A86A-4AAB-AFF7-8E70C85DD05C}" xr6:coauthVersionLast="45" xr6:coauthVersionMax="45" xr10:uidLastSave="{00000000-0000-0000-0000-000000000000}"/>
  <bookViews>
    <workbookView xWindow="3510" yWindow="1935" windowWidth="24675" windowHeight="14265" tabRatio="0"/>
  </bookViews>
  <sheets>
    <sheet name="TDSheet" sheetId="1" r:id="rId1"/>
  </sheets>
  <definedNames>
    <definedName name="_xlnm._FilterDatabase" localSheetId="0" hidden="1">TDSheet!$B$1:$B$329</definedName>
    <definedName name="_xlnm.Print_Area" localSheetId="0">TDSheet!$A$1:$T$327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3" i="1" l="1"/>
  <c r="I52" i="1"/>
  <c r="I304" i="1"/>
  <c r="T303" i="1"/>
  <c r="T305" i="1"/>
  <c r="T306" i="1" s="1"/>
  <c r="R303" i="1"/>
  <c r="R305" i="1"/>
  <c r="R306" i="1"/>
  <c r="Q303" i="1"/>
  <c r="Q305" i="1"/>
  <c r="Q306" i="1"/>
  <c r="P303" i="1"/>
  <c r="P305" i="1" s="1"/>
  <c r="P321" i="1" s="1"/>
  <c r="P323" i="1" s="1"/>
  <c r="P306" i="1"/>
  <c r="O303" i="1"/>
  <c r="O305" i="1"/>
  <c r="O306" i="1"/>
  <c r="N303" i="1"/>
  <c r="N305" i="1"/>
  <c r="L303" i="1"/>
  <c r="L305" i="1"/>
  <c r="L306" i="1" s="1"/>
  <c r="K303" i="1"/>
  <c r="K305" i="1" s="1"/>
  <c r="J303" i="1"/>
  <c r="J305" i="1"/>
  <c r="J306" i="1" s="1"/>
  <c r="H303" i="1"/>
  <c r="G303" i="1"/>
  <c r="F303" i="1"/>
  <c r="I271" i="1"/>
  <c r="I273" i="1"/>
  <c r="I274" i="1"/>
  <c r="I176" i="1"/>
  <c r="T175" i="1"/>
  <c r="T177" i="1"/>
  <c r="R175" i="1"/>
  <c r="R177" i="1" s="1"/>
  <c r="R178" i="1" s="1"/>
  <c r="Q175" i="1"/>
  <c r="Q177" i="1"/>
  <c r="Q178" i="1"/>
  <c r="P175" i="1"/>
  <c r="P177" i="1"/>
  <c r="P178" i="1"/>
  <c r="O175" i="1"/>
  <c r="O177" i="1" s="1"/>
  <c r="N175" i="1"/>
  <c r="N177" i="1"/>
  <c r="N178" i="1" s="1"/>
  <c r="L175" i="1"/>
  <c r="L177" i="1"/>
  <c r="L178" i="1"/>
  <c r="K175" i="1"/>
  <c r="K177" i="1"/>
  <c r="K178" i="1"/>
  <c r="J175" i="1"/>
  <c r="J177" i="1" s="1"/>
  <c r="J178" i="1" s="1"/>
  <c r="H175" i="1"/>
  <c r="G175" i="1"/>
  <c r="G177" i="1" s="1"/>
  <c r="F175" i="1"/>
  <c r="I14" i="1"/>
  <c r="T13" i="1"/>
  <c r="T16" i="1"/>
  <c r="T33" i="1" s="1"/>
  <c r="T35" i="1" s="1"/>
  <c r="R13" i="1"/>
  <c r="R16" i="1"/>
  <c r="Q13" i="1"/>
  <c r="Q16" i="1"/>
  <c r="Q33" i="1" s="1"/>
  <c r="Q35" i="1" s="1"/>
  <c r="Q17" i="1"/>
  <c r="P13" i="1"/>
  <c r="P16" i="1"/>
  <c r="P17" i="1" s="1"/>
  <c r="O13" i="1"/>
  <c r="O16" i="1" s="1"/>
  <c r="O17" i="1" s="1"/>
  <c r="N13" i="1"/>
  <c r="N16" i="1"/>
  <c r="N17" i="1"/>
  <c r="L13" i="1"/>
  <c r="L16" i="1"/>
  <c r="L17" i="1"/>
  <c r="K13" i="1"/>
  <c r="K16" i="1" s="1"/>
  <c r="K17" i="1" s="1"/>
  <c r="J13" i="1"/>
  <c r="J16" i="1"/>
  <c r="H13" i="1"/>
  <c r="H16" i="1" s="1"/>
  <c r="H17" i="1" s="1"/>
  <c r="G13" i="1"/>
  <c r="F13" i="1"/>
  <c r="F16" i="1" s="1"/>
  <c r="F33" i="1" s="1"/>
  <c r="F35" i="1" s="1"/>
  <c r="I238" i="1"/>
  <c r="I240" i="1"/>
  <c r="I241" i="1"/>
  <c r="T180" i="1"/>
  <c r="T187" i="1" s="1"/>
  <c r="T188" i="1" s="1"/>
  <c r="S180" i="1"/>
  <c r="R180" i="1"/>
  <c r="Q180" i="1"/>
  <c r="P180" i="1"/>
  <c r="O180" i="1"/>
  <c r="N180" i="1"/>
  <c r="M180" i="1"/>
  <c r="L180" i="1"/>
  <c r="K180" i="1"/>
  <c r="J180" i="1"/>
  <c r="J187" i="1" s="1"/>
  <c r="J188" i="1" s="1"/>
  <c r="H180" i="1"/>
  <c r="G180" i="1"/>
  <c r="F180" i="1"/>
  <c r="I180" i="1" s="1"/>
  <c r="I187" i="1" s="1"/>
  <c r="I188" i="1" s="1"/>
  <c r="T183" i="1"/>
  <c r="S183" i="1"/>
  <c r="R183" i="1"/>
  <c r="R187" i="1" s="1"/>
  <c r="R188" i="1" s="1"/>
  <c r="Q183" i="1"/>
  <c r="Q187" i="1" s="1"/>
  <c r="P183" i="1"/>
  <c r="P187" i="1" s="1"/>
  <c r="P188" i="1" s="1"/>
  <c r="O183" i="1"/>
  <c r="O187" i="1" s="1"/>
  <c r="O188" i="1" s="1"/>
  <c r="N183" i="1"/>
  <c r="N187" i="1" s="1"/>
  <c r="N194" i="1" s="1"/>
  <c r="N196" i="1" s="1"/>
  <c r="M183" i="1"/>
  <c r="M187" i="1" s="1"/>
  <c r="K183" i="1"/>
  <c r="J183" i="1"/>
  <c r="H183" i="1"/>
  <c r="G183" i="1"/>
  <c r="I183" i="1"/>
  <c r="F183" i="1"/>
  <c r="I116" i="1"/>
  <c r="G48" i="1"/>
  <c r="G49" i="1"/>
  <c r="H48" i="1"/>
  <c r="H49" i="1"/>
  <c r="J48" i="1"/>
  <c r="J65" i="1" s="1"/>
  <c r="J67" i="1" s="1"/>
  <c r="J49" i="1"/>
  <c r="K48" i="1"/>
  <c r="L48" i="1"/>
  <c r="L65" i="1" s="1"/>
  <c r="L67" i="1" s="1"/>
  <c r="L49" i="1"/>
  <c r="M48" i="1"/>
  <c r="M49" i="1" s="1"/>
  <c r="N48" i="1"/>
  <c r="N65" i="1" s="1"/>
  <c r="N49" i="1"/>
  <c r="O48" i="1"/>
  <c r="P48" i="1"/>
  <c r="P49" i="1" s="1"/>
  <c r="Q48" i="1"/>
  <c r="Q49" i="1"/>
  <c r="R48" i="1"/>
  <c r="R49" i="1"/>
  <c r="S48" i="1"/>
  <c r="S49" i="1"/>
  <c r="T48" i="1"/>
  <c r="T49" i="1" s="1"/>
  <c r="F48" i="1"/>
  <c r="F49" i="1" s="1"/>
  <c r="D48" i="1"/>
  <c r="T22" i="1"/>
  <c r="T26" i="1" s="1"/>
  <c r="T27" i="1" s="1"/>
  <c r="S22" i="1"/>
  <c r="R22" i="1"/>
  <c r="P22" i="1"/>
  <c r="P26" i="1" s="1"/>
  <c r="P27" i="1" s="1"/>
  <c r="O22" i="1"/>
  <c r="O26" i="1" s="1"/>
  <c r="O27" i="1" s="1"/>
  <c r="N22" i="1"/>
  <c r="N26" i="1" s="1"/>
  <c r="M22" i="1"/>
  <c r="M26" i="1" s="1"/>
  <c r="M27" i="1" s="1"/>
  <c r="K22" i="1"/>
  <c r="J22" i="1"/>
  <c r="H22" i="1"/>
  <c r="G22" i="1"/>
  <c r="F22" i="1"/>
  <c r="N38" i="1"/>
  <c r="N71" i="1" s="1"/>
  <c r="N102" i="1" s="1"/>
  <c r="N135" i="1" s="1"/>
  <c r="N167" i="1"/>
  <c r="N199" i="1" s="1"/>
  <c r="N230" i="1" s="1"/>
  <c r="N263" i="1" s="1"/>
  <c r="N295" i="1" s="1"/>
  <c r="F209" i="1"/>
  <c r="F210" i="1"/>
  <c r="G209" i="1"/>
  <c r="G210" i="1"/>
  <c r="H209" i="1"/>
  <c r="H226" i="1" s="1"/>
  <c r="H228" i="1" s="1"/>
  <c r="H210" i="1"/>
  <c r="J209" i="1"/>
  <c r="K209" i="1"/>
  <c r="K210" i="1" s="1"/>
  <c r="L209" i="1"/>
  <c r="L210" i="1"/>
  <c r="M209" i="1"/>
  <c r="M210" i="1"/>
  <c r="N209" i="1"/>
  <c r="N210" i="1"/>
  <c r="O209" i="1"/>
  <c r="O210" i="1"/>
  <c r="P209" i="1"/>
  <c r="P210" i="1"/>
  <c r="Q209" i="1"/>
  <c r="Q210" i="1"/>
  <c r="R209" i="1"/>
  <c r="S209" i="1"/>
  <c r="S210" i="1"/>
  <c r="T209" i="1"/>
  <c r="T226" i="1" s="1"/>
  <c r="T228" i="1" s="1"/>
  <c r="E209" i="1"/>
  <c r="E226" i="1" s="1"/>
  <c r="D209" i="1"/>
  <c r="T19" i="1"/>
  <c r="S19" i="1"/>
  <c r="R19" i="1"/>
  <c r="Q19" i="1"/>
  <c r="Q26" i="1" s="1"/>
  <c r="Q27" i="1" s="1"/>
  <c r="P19" i="1"/>
  <c r="O19" i="1"/>
  <c r="N19" i="1"/>
  <c r="M19" i="1"/>
  <c r="L19" i="1"/>
  <c r="L26" i="1" s="1"/>
  <c r="K19" i="1"/>
  <c r="J19" i="1"/>
  <c r="H19" i="1"/>
  <c r="G19" i="1"/>
  <c r="F19" i="1"/>
  <c r="E16" i="1"/>
  <c r="E33" i="1" s="1"/>
  <c r="D16" i="1"/>
  <c r="L240" i="1"/>
  <c r="L241" i="1" s="1"/>
  <c r="H240" i="1"/>
  <c r="H241" i="1" s="1"/>
  <c r="I207" i="1"/>
  <c r="I209" i="1"/>
  <c r="I210" i="1" s="1"/>
  <c r="N39" i="1"/>
  <c r="N72" i="1" s="1"/>
  <c r="N103" i="1"/>
  <c r="N136" i="1" s="1"/>
  <c r="N168" i="1"/>
  <c r="N200" i="1"/>
  <c r="N231" i="1"/>
  <c r="N264" i="1" s="1"/>
  <c r="N296" i="1"/>
  <c r="P273" i="1"/>
  <c r="P274" i="1"/>
  <c r="S273" i="1"/>
  <c r="O273" i="1"/>
  <c r="O274" i="1"/>
  <c r="K273" i="1"/>
  <c r="K274" i="1" s="1"/>
  <c r="H273" i="1"/>
  <c r="H274" i="1"/>
  <c r="T240" i="1"/>
  <c r="Q240" i="1"/>
  <c r="Q241" i="1" s="1"/>
  <c r="O240" i="1"/>
  <c r="O241" i="1" s="1"/>
  <c r="J240" i="1"/>
  <c r="J241" i="1"/>
  <c r="D305" i="1"/>
  <c r="E305" i="1"/>
  <c r="M305" i="1"/>
  <c r="S305" i="1"/>
  <c r="S306" i="1"/>
  <c r="D273" i="1"/>
  <c r="E273" i="1"/>
  <c r="M240" i="1"/>
  <c r="M241" i="1" s="1"/>
  <c r="M155" i="1"/>
  <c r="M156" i="1" s="1"/>
  <c r="I46" i="1"/>
  <c r="I48" i="1"/>
  <c r="I49" i="1" s="1"/>
  <c r="I110" i="1"/>
  <c r="S112" i="1"/>
  <c r="S113" i="1" s="1"/>
  <c r="M112" i="1"/>
  <c r="M113" i="1" s="1"/>
  <c r="K112" i="1"/>
  <c r="K113" i="1"/>
  <c r="J112" i="1"/>
  <c r="H112" i="1"/>
  <c r="H129" i="1" s="1"/>
  <c r="H131" i="1" s="1"/>
  <c r="H113" i="1"/>
  <c r="G112" i="1"/>
  <c r="G113" i="1"/>
  <c r="T81" i="1"/>
  <c r="T98" i="1" s="1"/>
  <c r="T100" i="1" s="1"/>
  <c r="T82" i="1"/>
  <c r="R81" i="1"/>
  <c r="R82" i="1" s="1"/>
  <c r="Q81" i="1"/>
  <c r="Q82" i="1"/>
  <c r="P81" i="1"/>
  <c r="O81" i="1"/>
  <c r="O82" i="1"/>
  <c r="N81" i="1"/>
  <c r="N82" i="1"/>
  <c r="L81" i="1"/>
  <c r="L82" i="1"/>
  <c r="K81" i="1"/>
  <c r="K82" i="1"/>
  <c r="J81" i="1"/>
  <c r="J82" i="1"/>
  <c r="I79" i="1"/>
  <c r="I81" i="1"/>
  <c r="I82" i="1" s="1"/>
  <c r="H81" i="1"/>
  <c r="H82" i="1"/>
  <c r="F81" i="1"/>
  <c r="F82" i="1" s="1"/>
  <c r="E112" i="1"/>
  <c r="D112" i="1"/>
  <c r="T145" i="1"/>
  <c r="T146" i="1" s="1"/>
  <c r="R145" i="1"/>
  <c r="R146" i="1"/>
  <c r="Q145" i="1"/>
  <c r="Q146" i="1"/>
  <c r="P145" i="1"/>
  <c r="P146" i="1"/>
  <c r="O145" i="1"/>
  <c r="O162" i="1" s="1"/>
  <c r="O164" i="1" s="1"/>
  <c r="N145" i="1"/>
  <c r="N146" i="1"/>
  <c r="L145" i="1"/>
  <c r="L146" i="1" s="1"/>
  <c r="K145" i="1"/>
  <c r="K146" i="1"/>
  <c r="J145" i="1"/>
  <c r="F145" i="1"/>
  <c r="I144" i="1"/>
  <c r="S16" i="1"/>
  <c r="M16" i="1"/>
  <c r="M17" i="1" s="1"/>
  <c r="M250" i="1"/>
  <c r="M251" i="1" s="1"/>
  <c r="E250" i="1"/>
  <c r="E257" i="1" s="1"/>
  <c r="D250" i="1"/>
  <c r="M219" i="1"/>
  <c r="M58" i="1"/>
  <c r="M59" i="1" s="1"/>
  <c r="E48" i="1"/>
  <c r="E65" i="1"/>
  <c r="H31" i="1"/>
  <c r="H32" i="1" s="1"/>
  <c r="J31" i="1"/>
  <c r="J32" i="1" s="1"/>
  <c r="K31" i="1"/>
  <c r="K32" i="1" s="1"/>
  <c r="L31" i="1"/>
  <c r="L32" i="1"/>
  <c r="M31" i="1"/>
  <c r="M32" i="1"/>
  <c r="N31" i="1"/>
  <c r="N32" i="1"/>
  <c r="O31" i="1"/>
  <c r="O32" i="1"/>
  <c r="P31" i="1"/>
  <c r="P32" i="1"/>
  <c r="Q31" i="1"/>
  <c r="Q32" i="1"/>
  <c r="R31" i="1"/>
  <c r="R32" i="1" s="1"/>
  <c r="S31" i="1"/>
  <c r="S32" i="1"/>
  <c r="T31" i="1"/>
  <c r="T32" i="1" s="1"/>
  <c r="I63" i="1"/>
  <c r="I64" i="1" s="1"/>
  <c r="I96" i="1"/>
  <c r="I97" i="1"/>
  <c r="T218" i="1"/>
  <c r="R218" i="1"/>
  <c r="Q218" i="1"/>
  <c r="Q219" i="1"/>
  <c r="Q220" i="1" s="1"/>
  <c r="P218" i="1"/>
  <c r="O218" i="1"/>
  <c r="O219" i="1" s="1"/>
  <c r="O220" i="1" s="1"/>
  <c r="N218" i="1"/>
  <c r="L218" i="1"/>
  <c r="L219" i="1"/>
  <c r="L226" i="1" s="1"/>
  <c r="L228" i="1" s="1"/>
  <c r="L220" i="1"/>
  <c r="K218" i="1"/>
  <c r="J218" i="1"/>
  <c r="H218" i="1"/>
  <c r="G218" i="1"/>
  <c r="F218" i="1"/>
  <c r="T217" i="1"/>
  <c r="S217" i="1"/>
  <c r="S219" i="1"/>
  <c r="R217" i="1"/>
  <c r="Q217" i="1"/>
  <c r="P217" i="1"/>
  <c r="O217" i="1"/>
  <c r="N217" i="1"/>
  <c r="K217" i="1"/>
  <c r="J217" i="1"/>
  <c r="J219" i="1" s="1"/>
  <c r="J220" i="1" s="1"/>
  <c r="H217" i="1"/>
  <c r="H219" i="1" s="1"/>
  <c r="H220" i="1" s="1"/>
  <c r="G217" i="1"/>
  <c r="G219" i="1"/>
  <c r="G220" i="1" s="1"/>
  <c r="F217" i="1"/>
  <c r="I217" i="1" s="1"/>
  <c r="I219" i="1" s="1"/>
  <c r="D219" i="1"/>
  <c r="D226" i="1" s="1"/>
  <c r="E219" i="1"/>
  <c r="I224" i="1"/>
  <c r="I225" i="1" s="1"/>
  <c r="D224" i="1"/>
  <c r="E224" i="1"/>
  <c r="F224" i="1"/>
  <c r="F225" i="1"/>
  <c r="G224" i="1"/>
  <c r="G225" i="1"/>
  <c r="H224" i="1"/>
  <c r="H225" i="1"/>
  <c r="J224" i="1"/>
  <c r="J225" i="1"/>
  <c r="K224" i="1"/>
  <c r="K225" i="1"/>
  <c r="L224" i="1"/>
  <c r="L225" i="1"/>
  <c r="M224" i="1"/>
  <c r="M225" i="1"/>
  <c r="N224" i="1"/>
  <c r="N225" i="1" s="1"/>
  <c r="O224" i="1"/>
  <c r="O225" i="1" s="1"/>
  <c r="P224" i="1"/>
  <c r="P225" i="1"/>
  <c r="Q224" i="1"/>
  <c r="Q225" i="1"/>
  <c r="R224" i="1"/>
  <c r="R225" i="1"/>
  <c r="S224" i="1"/>
  <c r="S225" i="1"/>
  <c r="T224" i="1"/>
  <c r="T225" i="1"/>
  <c r="T186" i="1"/>
  <c r="R186" i="1"/>
  <c r="Q186" i="1"/>
  <c r="P186" i="1"/>
  <c r="O186" i="1"/>
  <c r="N186" i="1"/>
  <c r="L186" i="1"/>
  <c r="L187" i="1" s="1"/>
  <c r="K186" i="1"/>
  <c r="J186" i="1"/>
  <c r="H186" i="1"/>
  <c r="G186" i="1"/>
  <c r="F186" i="1"/>
  <c r="T185" i="1"/>
  <c r="S185" i="1"/>
  <c r="R185" i="1"/>
  <c r="Q185" i="1"/>
  <c r="P185" i="1"/>
  <c r="O185" i="1"/>
  <c r="N185" i="1"/>
  <c r="K185" i="1"/>
  <c r="K187" i="1" s="1"/>
  <c r="K188" i="1" s="1"/>
  <c r="J185" i="1"/>
  <c r="H185" i="1"/>
  <c r="H187" i="1"/>
  <c r="G185" i="1"/>
  <c r="F185" i="1"/>
  <c r="I185" i="1" s="1"/>
  <c r="E319" i="1"/>
  <c r="I319" i="1"/>
  <c r="I320" i="1"/>
  <c r="X291" i="1"/>
  <c r="E289" i="1"/>
  <c r="I289" i="1"/>
  <c r="I290" i="1" s="1"/>
  <c r="E255" i="1"/>
  <c r="I255" i="1"/>
  <c r="I256" i="1"/>
  <c r="E192" i="1"/>
  <c r="I192" i="1"/>
  <c r="I193" i="1" s="1"/>
  <c r="E160" i="1"/>
  <c r="T160" i="1"/>
  <c r="T161" i="1"/>
  <c r="S160" i="1"/>
  <c r="S161" i="1"/>
  <c r="O160" i="1"/>
  <c r="O161" i="1" s="1"/>
  <c r="L160" i="1"/>
  <c r="L161" i="1" s="1"/>
  <c r="H160" i="1"/>
  <c r="H161" i="1"/>
  <c r="F160" i="1"/>
  <c r="F161" i="1"/>
  <c r="E127" i="1"/>
  <c r="D127" i="1"/>
  <c r="F127" i="1"/>
  <c r="F128" i="1"/>
  <c r="G127" i="1"/>
  <c r="G128" i="1"/>
  <c r="H127" i="1"/>
  <c r="H128" i="1"/>
  <c r="I127" i="1"/>
  <c r="I128" i="1"/>
  <c r="J127" i="1"/>
  <c r="J128" i="1"/>
  <c r="K127" i="1"/>
  <c r="K128" i="1" s="1"/>
  <c r="L127" i="1"/>
  <c r="L128" i="1" s="1"/>
  <c r="M127" i="1"/>
  <c r="M128" i="1"/>
  <c r="N127" i="1"/>
  <c r="N128" i="1" s="1"/>
  <c r="O127" i="1"/>
  <c r="O128" i="1" s="1"/>
  <c r="P127" i="1"/>
  <c r="P128" i="1" s="1"/>
  <c r="Q127" i="1"/>
  <c r="Q128" i="1"/>
  <c r="R127" i="1"/>
  <c r="R128" i="1" s="1"/>
  <c r="S127" i="1"/>
  <c r="S128" i="1" s="1"/>
  <c r="T127" i="1"/>
  <c r="T128" i="1"/>
  <c r="E96" i="1"/>
  <c r="E63" i="1"/>
  <c r="G31" i="1"/>
  <c r="G32" i="1" s="1"/>
  <c r="A179" i="1"/>
  <c r="A177" i="1"/>
  <c r="A48" i="1"/>
  <c r="A43" i="1"/>
  <c r="D289" i="1"/>
  <c r="T289" i="1"/>
  <c r="T290" i="1"/>
  <c r="S289" i="1"/>
  <c r="S290" i="1"/>
  <c r="R289" i="1"/>
  <c r="R290" i="1"/>
  <c r="Q289" i="1"/>
  <c r="Q290" i="1"/>
  <c r="P289" i="1"/>
  <c r="P290" i="1" s="1"/>
  <c r="O289" i="1"/>
  <c r="O290" i="1"/>
  <c r="N289" i="1"/>
  <c r="N290" i="1" s="1"/>
  <c r="M289" i="1"/>
  <c r="M290" i="1"/>
  <c r="L289" i="1"/>
  <c r="L290" i="1"/>
  <c r="K289" i="1"/>
  <c r="K290" i="1"/>
  <c r="J289" i="1"/>
  <c r="J290" i="1"/>
  <c r="H289" i="1"/>
  <c r="H290" i="1"/>
  <c r="G289" i="1"/>
  <c r="G290" i="1"/>
  <c r="F289" i="1"/>
  <c r="F290" i="1"/>
  <c r="E284" i="1"/>
  <c r="D284" i="1"/>
  <c r="T283" i="1"/>
  <c r="R283" i="1"/>
  <c r="Q283" i="1"/>
  <c r="P283" i="1"/>
  <c r="O283" i="1"/>
  <c r="N283" i="1"/>
  <c r="L283" i="1"/>
  <c r="K283" i="1"/>
  <c r="K284" i="1" s="1"/>
  <c r="J283" i="1"/>
  <c r="H283" i="1"/>
  <c r="G283" i="1"/>
  <c r="I283" i="1" s="1"/>
  <c r="F283" i="1"/>
  <c r="T282" i="1"/>
  <c r="T284" i="1" s="1"/>
  <c r="T285" i="1" s="1"/>
  <c r="S282" i="1"/>
  <c r="S284" i="1" s="1"/>
  <c r="S285" i="1" s="1"/>
  <c r="R282" i="1"/>
  <c r="Q282" i="1"/>
  <c r="P282" i="1"/>
  <c r="O282" i="1"/>
  <c r="N282" i="1"/>
  <c r="K282" i="1"/>
  <c r="J282" i="1"/>
  <c r="H282" i="1"/>
  <c r="I282" i="1" s="1"/>
  <c r="G282" i="1"/>
  <c r="F282" i="1"/>
  <c r="T277" i="1"/>
  <c r="S277" i="1"/>
  <c r="R277" i="1"/>
  <c r="Q277" i="1"/>
  <c r="P277" i="1"/>
  <c r="O277" i="1"/>
  <c r="O284" i="1" s="1"/>
  <c r="O285" i="1" s="1"/>
  <c r="N277" i="1"/>
  <c r="N284" i="1"/>
  <c r="N285" i="1"/>
  <c r="M277" i="1"/>
  <c r="M284" i="1" s="1"/>
  <c r="M285" i="1" s="1"/>
  <c r="L277" i="1"/>
  <c r="K277" i="1"/>
  <c r="J277" i="1"/>
  <c r="H277" i="1"/>
  <c r="H284" i="1" s="1"/>
  <c r="G277" i="1"/>
  <c r="F277" i="1"/>
  <c r="T255" i="1"/>
  <c r="T256" i="1"/>
  <c r="R255" i="1"/>
  <c r="R256" i="1" s="1"/>
  <c r="D255" i="1"/>
  <c r="S255" i="1"/>
  <c r="S257" i="1" s="1"/>
  <c r="S259" i="1" s="1"/>
  <c r="S256" i="1"/>
  <c r="Q255" i="1"/>
  <c r="Q256" i="1"/>
  <c r="P255" i="1"/>
  <c r="P256" i="1" s="1"/>
  <c r="O255" i="1"/>
  <c r="O256" i="1"/>
  <c r="N255" i="1"/>
  <c r="M255" i="1"/>
  <c r="M256" i="1" s="1"/>
  <c r="L255" i="1"/>
  <c r="L256" i="1" s="1"/>
  <c r="K255" i="1"/>
  <c r="K256" i="1" s="1"/>
  <c r="J255" i="1"/>
  <c r="J256" i="1" s="1"/>
  <c r="H255" i="1"/>
  <c r="H256" i="1" s="1"/>
  <c r="G255" i="1"/>
  <c r="G256" i="1"/>
  <c r="F255" i="1"/>
  <c r="F257" i="1" s="1"/>
  <c r="F259" i="1" s="1"/>
  <c r="F256" i="1"/>
  <c r="T249" i="1"/>
  <c r="R249" i="1"/>
  <c r="R250" i="1" s="1"/>
  <c r="R251" i="1" s="1"/>
  <c r="Q249" i="1"/>
  <c r="P249" i="1"/>
  <c r="O249" i="1"/>
  <c r="N249" i="1"/>
  <c r="N250" i="1" s="1"/>
  <c r="N251" i="1" s="1"/>
  <c r="L249" i="1"/>
  <c r="L250" i="1"/>
  <c r="L251" i="1" s="1"/>
  <c r="K249" i="1"/>
  <c r="K250" i="1" s="1"/>
  <c r="K251" i="1" s="1"/>
  <c r="J249" i="1"/>
  <c r="H249" i="1"/>
  <c r="G249" i="1"/>
  <c r="F249" i="1"/>
  <c r="I249" i="1" s="1"/>
  <c r="T248" i="1"/>
  <c r="T250" i="1" s="1"/>
  <c r="T251" i="1" s="1"/>
  <c r="S248" i="1"/>
  <c r="S250" i="1"/>
  <c r="R248" i="1"/>
  <c r="Q248" i="1"/>
  <c r="Q250" i="1" s="1"/>
  <c r="Q251" i="1" s="1"/>
  <c r="P248" i="1"/>
  <c r="P250" i="1" s="1"/>
  <c r="P251" i="1" s="1"/>
  <c r="O248" i="1"/>
  <c r="O250" i="1" s="1"/>
  <c r="O251" i="1" s="1"/>
  <c r="N248" i="1"/>
  <c r="K248" i="1"/>
  <c r="J248" i="1"/>
  <c r="J250" i="1"/>
  <c r="H248" i="1"/>
  <c r="G248" i="1"/>
  <c r="F248" i="1"/>
  <c r="F250" i="1"/>
  <c r="F251" i="1"/>
  <c r="E240" i="1"/>
  <c r="D240" i="1"/>
  <c r="S240" i="1"/>
  <c r="S241" i="1" s="1"/>
  <c r="R210" i="1"/>
  <c r="T192" i="1"/>
  <c r="T193" i="1" s="1"/>
  <c r="S192" i="1"/>
  <c r="R192" i="1"/>
  <c r="R193" i="1"/>
  <c r="Q192" i="1"/>
  <c r="Q193" i="1"/>
  <c r="P192" i="1"/>
  <c r="P193" i="1"/>
  <c r="O192" i="1"/>
  <c r="O193" i="1"/>
  <c r="N192" i="1"/>
  <c r="N193" i="1" s="1"/>
  <c r="M192" i="1"/>
  <c r="M193" i="1"/>
  <c r="L192" i="1"/>
  <c r="L193" i="1"/>
  <c r="K192" i="1"/>
  <c r="K193" i="1" s="1"/>
  <c r="J192" i="1"/>
  <c r="J193" i="1" s="1"/>
  <c r="H192" i="1"/>
  <c r="H193" i="1"/>
  <c r="G192" i="1"/>
  <c r="G193" i="1"/>
  <c r="F192" i="1"/>
  <c r="F193" i="1"/>
  <c r="E187" i="1"/>
  <c r="D187" i="1"/>
  <c r="D194" i="1" s="1"/>
  <c r="S177" i="1"/>
  <c r="M177" i="1"/>
  <c r="M194" i="1" s="1"/>
  <c r="M196" i="1" s="1"/>
  <c r="M178" i="1"/>
  <c r="E177" i="1"/>
  <c r="E194" i="1" s="1"/>
  <c r="D177" i="1"/>
  <c r="E122" i="1"/>
  <c r="E129" i="1"/>
  <c r="D122" i="1"/>
  <c r="D129" i="1" s="1"/>
  <c r="T121" i="1"/>
  <c r="R121" i="1"/>
  <c r="Q121" i="1"/>
  <c r="P121" i="1"/>
  <c r="P122" i="1" s="1"/>
  <c r="O121" i="1"/>
  <c r="N121" i="1"/>
  <c r="L121" i="1"/>
  <c r="L122" i="1"/>
  <c r="L123" i="1" s="1"/>
  <c r="K121" i="1"/>
  <c r="J121" i="1"/>
  <c r="J122" i="1" s="1"/>
  <c r="J123" i="1" s="1"/>
  <c r="H121" i="1"/>
  <c r="G121" i="1"/>
  <c r="F121" i="1"/>
  <c r="I121" i="1" s="1"/>
  <c r="T120" i="1"/>
  <c r="T122" i="1"/>
  <c r="S120" i="1"/>
  <c r="S122" i="1" s="1"/>
  <c r="R120" i="1"/>
  <c r="R122" i="1" s="1"/>
  <c r="Q120" i="1"/>
  <c r="Q122" i="1" s="1"/>
  <c r="P120" i="1"/>
  <c r="O120" i="1"/>
  <c r="N120" i="1"/>
  <c r="K120" i="1"/>
  <c r="J120" i="1"/>
  <c r="H120" i="1"/>
  <c r="G120" i="1"/>
  <c r="G122" i="1"/>
  <c r="G123" i="1" s="1"/>
  <c r="F120" i="1"/>
  <c r="I120" i="1" s="1"/>
  <c r="R96" i="1"/>
  <c r="R97" i="1"/>
  <c r="M96" i="1"/>
  <c r="M97" i="1" s="1"/>
  <c r="D96" i="1"/>
  <c r="T96" i="1"/>
  <c r="T97" i="1" s="1"/>
  <c r="S96" i="1"/>
  <c r="S97" i="1"/>
  <c r="Q96" i="1"/>
  <c r="Q97" i="1"/>
  <c r="P96" i="1"/>
  <c r="P97" i="1" s="1"/>
  <c r="O96" i="1"/>
  <c r="O97" i="1"/>
  <c r="N96" i="1"/>
  <c r="N97" i="1"/>
  <c r="L96" i="1"/>
  <c r="L97" i="1"/>
  <c r="K96" i="1"/>
  <c r="K97" i="1"/>
  <c r="J96" i="1"/>
  <c r="J97" i="1"/>
  <c r="H96" i="1"/>
  <c r="H97" i="1"/>
  <c r="F96" i="1"/>
  <c r="F97" i="1" s="1"/>
  <c r="E91" i="1"/>
  <c r="D91" i="1"/>
  <c r="T90" i="1"/>
  <c r="R90" i="1"/>
  <c r="Q90" i="1"/>
  <c r="P90" i="1"/>
  <c r="P91" i="1" s="1"/>
  <c r="P92" i="1" s="1"/>
  <c r="O90" i="1"/>
  <c r="N90" i="1"/>
  <c r="L90" i="1"/>
  <c r="L91" i="1"/>
  <c r="L92" i="1"/>
  <c r="K90" i="1"/>
  <c r="J90" i="1"/>
  <c r="H90" i="1"/>
  <c r="G90" i="1"/>
  <c r="G91" i="1" s="1"/>
  <c r="F90" i="1"/>
  <c r="T89" i="1"/>
  <c r="T91" i="1" s="1"/>
  <c r="T92" i="1" s="1"/>
  <c r="S89" i="1"/>
  <c r="S91" i="1"/>
  <c r="S98" i="1" s="1"/>
  <c r="R89" i="1"/>
  <c r="Q89" i="1"/>
  <c r="P89" i="1"/>
  <c r="O89" i="1"/>
  <c r="N89" i="1"/>
  <c r="N91" i="1" s="1"/>
  <c r="K89" i="1"/>
  <c r="J89" i="1"/>
  <c r="H89" i="1"/>
  <c r="G89" i="1"/>
  <c r="F89" i="1"/>
  <c r="I89" i="1" s="1"/>
  <c r="M81" i="1"/>
  <c r="M98" i="1" s="1"/>
  <c r="M100" i="1" s="1"/>
  <c r="M82" i="1"/>
  <c r="E81" i="1"/>
  <c r="D81" i="1"/>
  <c r="S81" i="1"/>
  <c r="S82" i="1"/>
  <c r="D63" i="1"/>
  <c r="T63" i="1"/>
  <c r="T64" i="1" s="1"/>
  <c r="S63" i="1"/>
  <c r="S64" i="1"/>
  <c r="R63" i="1"/>
  <c r="R64" i="1"/>
  <c r="Q63" i="1"/>
  <c r="Q64" i="1" s="1"/>
  <c r="P63" i="1"/>
  <c r="P64" i="1"/>
  <c r="O63" i="1"/>
  <c r="O64" i="1"/>
  <c r="N63" i="1"/>
  <c r="N64" i="1" s="1"/>
  <c r="M63" i="1"/>
  <c r="M64" i="1" s="1"/>
  <c r="L63" i="1"/>
  <c r="L64" i="1" s="1"/>
  <c r="K63" i="1"/>
  <c r="K64" i="1"/>
  <c r="J63" i="1"/>
  <c r="J64" i="1"/>
  <c r="H63" i="1"/>
  <c r="H65" i="1" s="1"/>
  <c r="H67" i="1" s="1"/>
  <c r="H64" i="1"/>
  <c r="F63" i="1"/>
  <c r="F64" i="1"/>
  <c r="E58" i="1"/>
  <c r="D58" i="1"/>
  <c r="D65" i="1" s="1"/>
  <c r="T57" i="1"/>
  <c r="R57" i="1"/>
  <c r="R58" i="1" s="1"/>
  <c r="Q57" i="1"/>
  <c r="P57" i="1"/>
  <c r="O57" i="1"/>
  <c r="N57" i="1"/>
  <c r="N58" i="1" s="1"/>
  <c r="N59" i="1" s="1"/>
  <c r="L57" i="1"/>
  <c r="L58" i="1"/>
  <c r="L59" i="1"/>
  <c r="K57" i="1"/>
  <c r="J57" i="1"/>
  <c r="H57" i="1"/>
  <c r="G57" i="1"/>
  <c r="F57" i="1"/>
  <c r="I57" i="1" s="1"/>
  <c r="T56" i="1"/>
  <c r="T58" i="1"/>
  <c r="S56" i="1"/>
  <c r="S58" i="1"/>
  <c r="S65" i="1"/>
  <c r="S67" i="1"/>
  <c r="R56" i="1"/>
  <c r="Q56" i="1"/>
  <c r="P56" i="1"/>
  <c r="P58" i="1"/>
  <c r="P59" i="1"/>
  <c r="O56" i="1"/>
  <c r="N56" i="1"/>
  <c r="K56" i="1"/>
  <c r="K58" i="1" s="1"/>
  <c r="J56" i="1"/>
  <c r="H56" i="1"/>
  <c r="H58" i="1" s="1"/>
  <c r="H59" i="1" s="1"/>
  <c r="G56" i="1"/>
  <c r="G58" i="1" s="1"/>
  <c r="F56" i="1"/>
  <c r="D31" i="1"/>
  <c r="E26" i="1"/>
  <c r="D26" i="1"/>
  <c r="T25" i="1"/>
  <c r="R25" i="1"/>
  <c r="Q25" i="1"/>
  <c r="P25" i="1"/>
  <c r="O25" i="1"/>
  <c r="N25" i="1"/>
  <c r="L25" i="1"/>
  <c r="K25" i="1"/>
  <c r="J25" i="1"/>
  <c r="H25" i="1"/>
  <c r="G25" i="1"/>
  <c r="F25" i="1"/>
  <c r="I25" i="1" s="1"/>
  <c r="I26" i="1" s="1"/>
  <c r="I27" i="1" s="1"/>
  <c r="T24" i="1"/>
  <c r="S24" i="1"/>
  <c r="R24" i="1"/>
  <c r="R26" i="1"/>
  <c r="R27" i="1" s="1"/>
  <c r="Q24" i="1"/>
  <c r="P24" i="1"/>
  <c r="O24" i="1"/>
  <c r="N24" i="1"/>
  <c r="K24" i="1"/>
  <c r="J24" i="1"/>
  <c r="H24" i="1"/>
  <c r="G24" i="1"/>
  <c r="F24" i="1"/>
  <c r="F26" i="1" s="1"/>
  <c r="F27" i="1" s="1"/>
  <c r="I24" i="1"/>
  <c r="D155" i="1"/>
  <c r="D162" i="1" s="1"/>
  <c r="D145" i="1"/>
  <c r="E145" i="1"/>
  <c r="E162" i="1" s="1"/>
  <c r="E314" i="1"/>
  <c r="E321" i="1"/>
  <c r="E155" i="1"/>
  <c r="D319" i="1"/>
  <c r="T312" i="1"/>
  <c r="S312" i="1"/>
  <c r="S314" i="1" s="1"/>
  <c r="S315" i="1" s="1"/>
  <c r="R312" i="1"/>
  <c r="Q312" i="1"/>
  <c r="Q314" i="1"/>
  <c r="Q321" i="1" s="1"/>
  <c r="Q323" i="1" s="1"/>
  <c r="P312" i="1"/>
  <c r="O312" i="1"/>
  <c r="N312" i="1"/>
  <c r="K312" i="1"/>
  <c r="K314" i="1" s="1"/>
  <c r="K315" i="1" s="1"/>
  <c r="J312" i="1"/>
  <c r="H312" i="1"/>
  <c r="H314" i="1" s="1"/>
  <c r="H315" i="1"/>
  <c r="G312" i="1"/>
  <c r="G314" i="1" s="1"/>
  <c r="G315" i="1" s="1"/>
  <c r="F312" i="1"/>
  <c r="F314" i="1" s="1"/>
  <c r="T153" i="1"/>
  <c r="S153" i="1"/>
  <c r="S155" i="1"/>
  <c r="S162" i="1" s="1"/>
  <c r="S164" i="1" s="1"/>
  <c r="S156" i="1"/>
  <c r="R153" i="1"/>
  <c r="R155" i="1" s="1"/>
  <c r="R162" i="1" s="1"/>
  <c r="Q153" i="1"/>
  <c r="Q155" i="1" s="1"/>
  <c r="P153" i="1"/>
  <c r="O153" i="1"/>
  <c r="N153" i="1"/>
  <c r="K153" i="1"/>
  <c r="J153" i="1"/>
  <c r="H153" i="1"/>
  <c r="H155" i="1" s="1"/>
  <c r="H156" i="1" s="1"/>
  <c r="G153" i="1"/>
  <c r="F153" i="1"/>
  <c r="T313" i="1"/>
  <c r="R313" i="1"/>
  <c r="R314" i="1" s="1"/>
  <c r="Q313" i="1"/>
  <c r="P313" i="1"/>
  <c r="P314" i="1" s="1"/>
  <c r="P315" i="1" s="1"/>
  <c r="O313" i="1"/>
  <c r="O314" i="1" s="1"/>
  <c r="O315" i="1" s="1"/>
  <c r="N313" i="1"/>
  <c r="L313" i="1"/>
  <c r="L314" i="1" s="1"/>
  <c r="K313" i="1"/>
  <c r="J313" i="1"/>
  <c r="H313" i="1"/>
  <c r="G313" i="1"/>
  <c r="F313" i="1"/>
  <c r="I313" i="1" s="1"/>
  <c r="T154" i="1"/>
  <c r="R154" i="1"/>
  <c r="Q154" i="1"/>
  <c r="P154" i="1"/>
  <c r="O154" i="1"/>
  <c r="N154" i="1"/>
  <c r="N155" i="1"/>
  <c r="N156" i="1" s="1"/>
  <c r="L154" i="1"/>
  <c r="L155" i="1"/>
  <c r="L156" i="1" s="1"/>
  <c r="K154" i="1"/>
  <c r="K155" i="1" s="1"/>
  <c r="J154" i="1"/>
  <c r="J155" i="1" s="1"/>
  <c r="J156" i="1" s="1"/>
  <c r="H154" i="1"/>
  <c r="G154" i="1"/>
  <c r="F154" i="1"/>
  <c r="T319" i="1"/>
  <c r="T320" i="1"/>
  <c r="S319" i="1"/>
  <c r="S320" i="1" s="1"/>
  <c r="R319" i="1"/>
  <c r="R320" i="1" s="1"/>
  <c r="Q319" i="1"/>
  <c r="Q320" i="1" s="1"/>
  <c r="P319" i="1"/>
  <c r="P320" i="1"/>
  <c r="O319" i="1"/>
  <c r="O320" i="1" s="1"/>
  <c r="N319" i="1"/>
  <c r="N320" i="1"/>
  <c r="M319" i="1"/>
  <c r="M320" i="1"/>
  <c r="L319" i="1"/>
  <c r="L320" i="1"/>
  <c r="K319" i="1"/>
  <c r="K320" i="1" s="1"/>
  <c r="J319" i="1"/>
  <c r="J320" i="1"/>
  <c r="H319" i="1"/>
  <c r="H320" i="1" s="1"/>
  <c r="G319" i="1"/>
  <c r="G320" i="1" s="1"/>
  <c r="D314" i="1"/>
  <c r="D160" i="1"/>
  <c r="J160" i="1"/>
  <c r="J161" i="1"/>
  <c r="K160" i="1"/>
  <c r="K161" i="1"/>
  <c r="M160" i="1"/>
  <c r="M162" i="1" s="1"/>
  <c r="M164" i="1" s="1"/>
  <c r="M161" i="1"/>
  <c r="N160" i="1"/>
  <c r="N161" i="1"/>
  <c r="P160" i="1"/>
  <c r="P161" i="1" s="1"/>
  <c r="Q160" i="1"/>
  <c r="Q161" i="1"/>
  <c r="R160" i="1"/>
  <c r="R161" i="1"/>
  <c r="G63" i="1"/>
  <c r="G64" i="1" s="1"/>
  <c r="G96" i="1"/>
  <c r="G97" i="1"/>
  <c r="F319" i="1"/>
  <c r="F320" i="1"/>
  <c r="W112" i="1"/>
  <c r="G160" i="1"/>
  <c r="G161" i="1" s="1"/>
  <c r="I160" i="1"/>
  <c r="I161" i="1"/>
  <c r="M314" i="1"/>
  <c r="M315" i="1"/>
  <c r="M122" i="1"/>
  <c r="M129" i="1" s="1"/>
  <c r="M131" i="1" s="1"/>
  <c r="M123" i="1"/>
  <c r="M145" i="1"/>
  <c r="S145" i="1"/>
  <c r="S146" i="1"/>
  <c r="M91" i="1"/>
  <c r="M92" i="1" s="1"/>
  <c r="F31" i="1"/>
  <c r="F32" i="1"/>
  <c r="I31" i="1"/>
  <c r="I32" i="1" s="1"/>
  <c r="R112" i="1"/>
  <c r="Q112" i="1"/>
  <c r="Q113" i="1" s="1"/>
  <c r="S193" i="1"/>
  <c r="T273" i="1"/>
  <c r="T274" i="1"/>
  <c r="N112" i="1"/>
  <c r="N113" i="1"/>
  <c r="P112" i="1"/>
  <c r="O112" i="1"/>
  <c r="F240" i="1"/>
  <c r="F241" i="1"/>
  <c r="K240" i="1"/>
  <c r="K241" i="1"/>
  <c r="N240" i="1"/>
  <c r="N241" i="1" s="1"/>
  <c r="P240" i="1"/>
  <c r="R240" i="1"/>
  <c r="F305" i="1"/>
  <c r="F306" i="1" s="1"/>
  <c r="G81" i="1"/>
  <c r="G82" i="1" s="1"/>
  <c r="F112" i="1"/>
  <c r="F129" i="1" s="1"/>
  <c r="F131" i="1" s="1"/>
  <c r="F113" i="1"/>
  <c r="I112" i="1"/>
  <c r="G240" i="1"/>
  <c r="G241" i="1"/>
  <c r="L112" i="1"/>
  <c r="L113" i="1" s="1"/>
  <c r="J273" i="1"/>
  <c r="J274" i="1" s="1"/>
  <c r="G273" i="1"/>
  <c r="G274" i="1"/>
  <c r="L273" i="1"/>
  <c r="L274" i="1"/>
  <c r="T112" i="1"/>
  <c r="T113" i="1"/>
  <c r="G145" i="1"/>
  <c r="G146" i="1"/>
  <c r="H145" i="1"/>
  <c r="H162" i="1" s="1"/>
  <c r="H164" i="1" s="1"/>
  <c r="F122" i="1"/>
  <c r="F123" i="1" s="1"/>
  <c r="N273" i="1"/>
  <c r="N274" i="1" s="1"/>
  <c r="R273" i="1"/>
  <c r="R274" i="1"/>
  <c r="Q273" i="1"/>
  <c r="Q274" i="1"/>
  <c r="G16" i="1"/>
  <c r="G17" i="1" s="1"/>
  <c r="F273" i="1"/>
  <c r="F274" i="1"/>
  <c r="M273" i="1"/>
  <c r="M274" i="1" s="1"/>
  <c r="O58" i="1"/>
  <c r="O59" i="1"/>
  <c r="Q123" i="1"/>
  <c r="H177" i="1"/>
  <c r="H194" i="1" s="1"/>
  <c r="H196" i="1" s="1"/>
  <c r="H178" i="1"/>
  <c r="I145" i="1"/>
  <c r="I146" i="1"/>
  <c r="I19" i="1"/>
  <c r="T155" i="1"/>
  <c r="T156" i="1" s="1"/>
  <c r="S178" i="1"/>
  <c r="Q58" i="1"/>
  <c r="Q59" i="1" s="1"/>
  <c r="S220" i="1"/>
  <c r="I218" i="1"/>
  <c r="D257" i="1"/>
  <c r="S17" i="1"/>
  <c r="F17" i="1"/>
  <c r="G305" i="1"/>
  <c r="R91" i="1"/>
  <c r="I22" i="1"/>
  <c r="F155" i="1"/>
  <c r="F156" i="1"/>
  <c r="O155" i="1"/>
  <c r="O156" i="1" s="1"/>
  <c r="T314" i="1"/>
  <c r="T321" i="1" s="1"/>
  <c r="T315" i="1"/>
  <c r="I90" i="1"/>
  <c r="I91" i="1" s="1"/>
  <c r="P65" i="1"/>
  <c r="P67" i="1" s="1"/>
  <c r="M188" i="1"/>
  <c r="K49" i="1"/>
  <c r="T178" i="1"/>
  <c r="P113" i="1"/>
  <c r="I154" i="1"/>
  <c r="F91" i="1"/>
  <c r="F92" i="1"/>
  <c r="G250" i="1"/>
  <c r="G251" i="1" s="1"/>
  <c r="S59" i="1"/>
  <c r="J314" i="1"/>
  <c r="J315" i="1" s="1"/>
  <c r="G26" i="1"/>
  <c r="G33" i="1"/>
  <c r="G35" i="1"/>
  <c r="Q284" i="1"/>
  <c r="Q291" i="1" s="1"/>
  <c r="Q293" i="1" s="1"/>
  <c r="Q285" i="1"/>
  <c r="T323" i="1"/>
  <c r="G155" i="1"/>
  <c r="G284" i="1"/>
  <c r="S274" i="1"/>
  <c r="T17" i="1"/>
  <c r="I175" i="1"/>
  <c r="F177" i="1"/>
  <c r="J91" i="1"/>
  <c r="J92" i="1"/>
  <c r="H250" i="1"/>
  <c r="H257" i="1" s="1"/>
  <c r="S251" i="1"/>
  <c r="F146" i="1"/>
  <c r="F162" i="1"/>
  <c r="F164" i="1"/>
  <c r="Q315" i="1"/>
  <c r="F178" i="1"/>
  <c r="G156" i="1"/>
  <c r="G162" i="1"/>
  <c r="G164" i="1"/>
  <c r="H259" i="1"/>
  <c r="H251" i="1"/>
  <c r="H188" i="1"/>
  <c r="N256" i="1"/>
  <c r="G27" i="1"/>
  <c r="L98" i="1"/>
  <c r="L100" i="1"/>
  <c r="L162" i="1"/>
  <c r="L164" i="1" s="1"/>
  <c r="E31" i="1"/>
  <c r="E98" i="1"/>
  <c r="O91" i="1"/>
  <c r="O122" i="1"/>
  <c r="O123" i="1"/>
  <c r="G187" i="1"/>
  <c r="G188" i="1" s="1"/>
  <c r="I186" i="1"/>
  <c r="J58" i="1"/>
  <c r="J59" i="1"/>
  <c r="D98" i="1"/>
  <c r="T291" i="1"/>
  <c r="T293" i="1" s="1"/>
  <c r="F284" i="1"/>
  <c r="F285" i="1" s="1"/>
  <c r="T219" i="1"/>
  <c r="I153" i="1"/>
  <c r="Q91" i="1"/>
  <c r="Q92" i="1" s="1"/>
  <c r="H122" i="1"/>
  <c r="H123" i="1" s="1"/>
  <c r="K122" i="1"/>
  <c r="K129" i="1" s="1"/>
  <c r="K131" i="1" s="1"/>
  <c r="S26" i="1"/>
  <c r="R164" i="1"/>
  <c r="R156" i="1"/>
  <c r="R194" i="1"/>
  <c r="R196" i="1"/>
  <c r="L27" i="1"/>
  <c r="L33" i="1"/>
  <c r="L35" i="1"/>
  <c r="N92" i="1"/>
  <c r="N98" i="1"/>
  <c r="N100" i="1"/>
  <c r="S100" i="1"/>
  <c r="S226" i="1"/>
  <c r="S228" i="1" s="1"/>
  <c r="N67" i="1"/>
  <c r="I113" i="1"/>
  <c r="O113" i="1"/>
  <c r="M146" i="1"/>
  <c r="P155" i="1"/>
  <c r="P156" i="1" s="1"/>
  <c r="R123" i="1"/>
  <c r="H305" i="1"/>
  <c r="H306" i="1" s="1"/>
  <c r="I303" i="1"/>
  <c r="I305" i="1" s="1"/>
  <c r="F291" i="1"/>
  <c r="F293" i="1"/>
  <c r="K123" i="1"/>
  <c r="T220" i="1"/>
  <c r="I306" i="1"/>
  <c r="P129" i="1" l="1"/>
  <c r="P131" i="1" s="1"/>
  <c r="P123" i="1"/>
  <c r="R257" i="1"/>
  <c r="R259" i="1" s="1"/>
  <c r="R241" i="1"/>
  <c r="N27" i="1"/>
  <c r="N33" i="1"/>
  <c r="N35" i="1" s="1"/>
  <c r="S321" i="1"/>
  <c r="S323" i="1" s="1"/>
  <c r="N257" i="1"/>
  <c r="N259" i="1" s="1"/>
  <c r="I92" i="1"/>
  <c r="I98" i="1"/>
  <c r="I100" i="1" s="1"/>
  <c r="G98" i="1"/>
  <c r="G100" i="1" s="1"/>
  <c r="G92" i="1"/>
  <c r="G59" i="1"/>
  <c r="G65" i="1"/>
  <c r="G67" i="1" s="1"/>
  <c r="M220" i="1"/>
  <c r="M226" i="1"/>
  <c r="M228" i="1" s="1"/>
  <c r="K65" i="1"/>
  <c r="K67" i="1" s="1"/>
  <c r="K59" i="1"/>
  <c r="S123" i="1"/>
  <c r="S129" i="1"/>
  <c r="S131" i="1" s="1"/>
  <c r="L315" i="1"/>
  <c r="L321" i="1"/>
  <c r="L323" i="1" s="1"/>
  <c r="E291" i="1"/>
  <c r="L188" i="1"/>
  <c r="L194" i="1"/>
  <c r="L196" i="1" s="1"/>
  <c r="T65" i="1"/>
  <c r="T67" i="1" s="1"/>
  <c r="T59" i="1"/>
  <c r="O178" i="1"/>
  <c r="O194" i="1"/>
  <c r="O196" i="1" s="1"/>
  <c r="I56" i="1"/>
  <c r="I58" i="1" s="1"/>
  <c r="I59" i="1" s="1"/>
  <c r="F58" i="1"/>
  <c r="K291" i="1"/>
  <c r="K293" i="1" s="1"/>
  <c r="K285" i="1"/>
  <c r="P82" i="1"/>
  <c r="P98" i="1"/>
  <c r="P100" i="1" s="1"/>
  <c r="J251" i="1"/>
  <c r="J257" i="1"/>
  <c r="J259" i="1" s="1"/>
  <c r="Q156" i="1"/>
  <c r="Q162" i="1"/>
  <c r="Q164" i="1" s="1"/>
  <c r="T194" i="1"/>
  <c r="T196" i="1" s="1"/>
  <c r="T123" i="1"/>
  <c r="T129" i="1"/>
  <c r="T131" i="1" s="1"/>
  <c r="I220" i="1"/>
  <c r="I226" i="1"/>
  <c r="I228" i="1" s="1"/>
  <c r="L291" i="1"/>
  <c r="L293" i="1" s="1"/>
  <c r="F315" i="1"/>
  <c r="F321" i="1"/>
  <c r="F323" i="1" s="1"/>
  <c r="R65" i="1"/>
  <c r="R67" i="1" s="1"/>
  <c r="R59" i="1"/>
  <c r="H285" i="1"/>
  <c r="H291" i="1"/>
  <c r="H293" i="1" s="1"/>
  <c r="G285" i="1"/>
  <c r="G291" i="1"/>
  <c r="G293" i="1" s="1"/>
  <c r="Q188" i="1"/>
  <c r="Q194" i="1"/>
  <c r="Q196" i="1" s="1"/>
  <c r="S27" i="1"/>
  <c r="S33" i="1"/>
  <c r="S35" i="1" s="1"/>
  <c r="N188" i="1"/>
  <c r="K162" i="1"/>
  <c r="K164" i="1" s="1"/>
  <c r="K156" i="1"/>
  <c r="R321" i="1"/>
  <c r="R323" i="1" s="1"/>
  <c r="R315" i="1"/>
  <c r="I122" i="1"/>
  <c r="G306" i="1"/>
  <c r="G321" i="1"/>
  <c r="G323" i="1" s="1"/>
  <c r="N306" i="1"/>
  <c r="G257" i="1"/>
  <c r="G259" i="1" s="1"/>
  <c r="M306" i="1"/>
  <c r="M321" i="1"/>
  <c r="M323" i="1" s="1"/>
  <c r="O92" i="1"/>
  <c r="O98" i="1"/>
  <c r="O100" i="1" s="1"/>
  <c r="M33" i="1"/>
  <c r="M35" i="1" s="1"/>
  <c r="G194" i="1"/>
  <c r="G196" i="1" s="1"/>
  <c r="G178" i="1"/>
  <c r="I312" i="1"/>
  <c r="I314" i="1" s="1"/>
  <c r="P219" i="1"/>
  <c r="G226" i="1"/>
  <c r="G228" i="1" s="1"/>
  <c r="I13" i="1"/>
  <c r="I16" i="1" s="1"/>
  <c r="R98" i="1"/>
  <c r="R100" i="1" s="1"/>
  <c r="T210" i="1"/>
  <c r="N122" i="1"/>
  <c r="V291" i="1"/>
  <c r="H91" i="1"/>
  <c r="H92" i="1" s="1"/>
  <c r="I277" i="1"/>
  <c r="I284" i="1" s="1"/>
  <c r="I285" i="1" s="1"/>
  <c r="R219" i="1"/>
  <c r="I291" i="1"/>
  <c r="I293" i="1" s="1"/>
  <c r="P241" i="1"/>
  <c r="P257" i="1"/>
  <c r="P259" i="1" s="1"/>
  <c r="F219" i="1"/>
  <c r="P284" i="1"/>
  <c r="O291" i="1"/>
  <c r="O293" i="1" s="1"/>
  <c r="K219" i="1"/>
  <c r="G129" i="1"/>
  <c r="G131" i="1" s="1"/>
  <c r="R284" i="1"/>
  <c r="J146" i="1"/>
  <c r="J162" i="1"/>
  <c r="J164" i="1" s="1"/>
  <c r="Q98" i="1"/>
  <c r="Q100" i="1" s="1"/>
  <c r="N314" i="1"/>
  <c r="N315" i="1" s="1"/>
  <c r="J129" i="1"/>
  <c r="J131" i="1" s="1"/>
  <c r="J113" i="1"/>
  <c r="M257" i="1"/>
  <c r="M259" i="1" s="1"/>
  <c r="T241" i="1"/>
  <c r="T257" i="1"/>
  <c r="T259" i="1" s="1"/>
  <c r="H33" i="1"/>
  <c r="H35" i="1" s="1"/>
  <c r="O146" i="1"/>
  <c r="I177" i="1"/>
  <c r="L129" i="1"/>
  <c r="L131" i="1" s="1"/>
  <c r="K194" i="1"/>
  <c r="K196" i="1" s="1"/>
  <c r="K257" i="1"/>
  <c r="K259" i="1" s="1"/>
  <c r="O321" i="1"/>
  <c r="O323" i="1" s="1"/>
  <c r="I155" i="1"/>
  <c r="M291" i="1"/>
  <c r="M293" i="1" s="1"/>
  <c r="J210" i="1"/>
  <c r="J226" i="1"/>
  <c r="J228" i="1" s="1"/>
  <c r="H98" i="1"/>
  <c r="H100" i="1" s="1"/>
  <c r="F187" i="1"/>
  <c r="N219" i="1"/>
  <c r="P33" i="1"/>
  <c r="P35" i="1" s="1"/>
  <c r="P162" i="1"/>
  <c r="P164" i="1" s="1"/>
  <c r="S92" i="1"/>
  <c r="Q65" i="1"/>
  <c r="Q67" i="1" s="1"/>
  <c r="N162" i="1"/>
  <c r="N164" i="1" s="1"/>
  <c r="M65" i="1"/>
  <c r="M67" i="1" s="1"/>
  <c r="J321" i="1"/>
  <c r="J323" i="1" s="1"/>
  <c r="H26" i="1"/>
  <c r="H27" i="1" s="1"/>
  <c r="Q226" i="1"/>
  <c r="Q228" i="1" s="1"/>
  <c r="O129" i="1"/>
  <c r="O131" i="1" s="1"/>
  <c r="J98" i="1"/>
  <c r="J100" i="1" s="1"/>
  <c r="H321" i="1"/>
  <c r="H323" i="1" s="1"/>
  <c r="K91" i="1"/>
  <c r="J26" i="1"/>
  <c r="J27" i="1" s="1"/>
  <c r="K26" i="1"/>
  <c r="K27" i="1" s="1"/>
  <c r="Q257" i="1"/>
  <c r="Q259" i="1" s="1"/>
  <c r="J17" i="1"/>
  <c r="H146" i="1"/>
  <c r="I248" i="1"/>
  <c r="I250" i="1" s="1"/>
  <c r="I251" i="1" s="1"/>
  <c r="D291" i="1"/>
  <c r="S291" i="1"/>
  <c r="S293" i="1" s="1"/>
  <c r="L257" i="1"/>
  <c r="L259" i="1" s="1"/>
  <c r="R17" i="1"/>
  <c r="R33" i="1"/>
  <c r="R35" i="1" s="1"/>
  <c r="F98" i="1"/>
  <c r="F100" i="1" s="1"/>
  <c r="D321" i="1"/>
  <c r="D33" i="1"/>
  <c r="J194" i="1"/>
  <c r="J196" i="1" s="1"/>
  <c r="P194" i="1"/>
  <c r="P196" i="1" s="1"/>
  <c r="O33" i="1"/>
  <c r="O35" i="1" s="1"/>
  <c r="R92" i="1"/>
  <c r="Q129" i="1"/>
  <c r="Q131" i="1" s="1"/>
  <c r="O226" i="1"/>
  <c r="O228" i="1" s="1"/>
  <c r="K33" i="1"/>
  <c r="K35" i="1" s="1"/>
  <c r="O257" i="1"/>
  <c r="O259" i="1" s="1"/>
  <c r="J284" i="1"/>
  <c r="T162" i="1"/>
  <c r="T164" i="1" s="1"/>
  <c r="N291" i="1"/>
  <c r="N293" i="1" s="1"/>
  <c r="R113" i="1"/>
  <c r="R129" i="1"/>
  <c r="R131" i="1" s="1"/>
  <c r="L284" i="1"/>
  <c r="L285" i="1" s="1"/>
  <c r="O49" i="1"/>
  <c r="O65" i="1"/>
  <c r="O67" i="1" s="1"/>
  <c r="S187" i="1"/>
  <c r="K306" i="1"/>
  <c r="K321" i="1"/>
  <c r="K323" i="1" s="1"/>
  <c r="I257" i="1" l="1"/>
  <c r="I259" i="1" s="1"/>
  <c r="R220" i="1"/>
  <c r="R226" i="1"/>
  <c r="R228" i="1" s="1"/>
  <c r="F220" i="1"/>
  <c r="F226" i="1"/>
  <c r="F228" i="1" s="1"/>
  <c r="I65" i="1"/>
  <c r="I67" i="1" s="1"/>
  <c r="N321" i="1"/>
  <c r="N323" i="1" s="1"/>
  <c r="W291" i="1"/>
  <c r="I315" i="1"/>
  <c r="I321" i="1"/>
  <c r="I323" i="1" s="1"/>
  <c r="I33" i="1"/>
  <c r="I35" i="1" s="1"/>
  <c r="I17" i="1"/>
  <c r="K92" i="1"/>
  <c r="K98" i="1"/>
  <c r="K100" i="1" s="1"/>
  <c r="N226" i="1"/>
  <c r="N228" i="1" s="1"/>
  <c r="N220" i="1"/>
  <c r="I162" i="1"/>
  <c r="I164" i="1" s="1"/>
  <c r="I156" i="1"/>
  <c r="J33" i="1"/>
  <c r="J35" i="1" s="1"/>
  <c r="P220" i="1"/>
  <c r="P226" i="1"/>
  <c r="P228" i="1" s="1"/>
  <c r="R291" i="1"/>
  <c r="R293" i="1" s="1"/>
  <c r="R285" i="1"/>
  <c r="K220" i="1"/>
  <c r="K226" i="1"/>
  <c r="K228" i="1" s="1"/>
  <c r="S188" i="1"/>
  <c r="S194" i="1"/>
  <c r="S196" i="1" s="1"/>
  <c r="F188" i="1"/>
  <c r="F194" i="1"/>
  <c r="F196" i="1" s="1"/>
  <c r="J285" i="1"/>
  <c r="J291" i="1"/>
  <c r="J293" i="1" s="1"/>
  <c r="P285" i="1"/>
  <c r="P291" i="1"/>
  <c r="P293" i="1" s="1"/>
  <c r="F59" i="1"/>
  <c r="F65" i="1"/>
  <c r="F67" i="1" s="1"/>
  <c r="I178" i="1"/>
  <c r="V112" i="1" s="1"/>
  <c r="I194" i="1"/>
  <c r="I123" i="1"/>
  <c r="I129" i="1"/>
  <c r="I131" i="1" s="1"/>
  <c r="N123" i="1"/>
  <c r="N129" i="1"/>
  <c r="N131" i="1" s="1"/>
  <c r="I196" i="1" l="1"/>
  <c r="X112" i="1"/>
</calcChain>
</file>

<file path=xl/comments1.xml><?xml version="1.0" encoding="utf-8"?>
<comments xmlns="http://schemas.openxmlformats.org/spreadsheetml/2006/main">
  <authors>
    <author>komp-pk</author>
    <author>komp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  <comment ref="B141" authorId="0" shape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
</t>
        </r>
      </text>
    </comment>
    <comment ref="B213" authorId="0" shapeId="0">
      <text>
        <r>
          <rPr>
            <b/>
            <sz val="9"/>
            <color indexed="81"/>
            <rFont val="Tahoma"/>
            <family val="2"/>
            <charset val="204"/>
          </rPr>
          <t>komp-pk:</t>
        </r>
        <r>
          <rPr>
            <sz val="9"/>
            <color indexed="81"/>
            <rFont val="Tahoma"/>
            <family val="2"/>
            <charset val="204"/>
          </rPr>
          <t xml:space="preserve">
замена 
</t>
        </r>
      </text>
    </comment>
    <comment ref="B301" authorId="1" shapeId="0">
      <text>
        <r>
          <rPr>
            <b/>
            <sz val="9"/>
            <color indexed="81"/>
            <rFont val="Tahoma"/>
            <charset val="1"/>
          </rPr>
          <t>komp:</t>
        </r>
        <r>
          <rPr>
            <sz val="9"/>
            <color indexed="81"/>
            <rFont val="Tahoma"/>
            <charset val="1"/>
          </rPr>
          <t xml:space="preserve">
замена
</t>
        </r>
      </text>
    </comment>
  </commentList>
</comments>
</file>

<file path=xl/sharedStrings.xml><?xml version="1.0" encoding="utf-8"?>
<sst xmlns="http://schemas.openxmlformats.org/spreadsheetml/2006/main" count="547" uniqueCount="115">
  <si>
    <t>понедельник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</si>
  <si>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</si>
  <si>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</si>
  <si>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</si>
  <si>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</si>
  <si>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</si>
  <si>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</si>
  <si>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</si>
  <si>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</si>
  <si>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</si>
  <si>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</si>
  <si>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</si>
  <si>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</si>
  <si>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</si>
  <si>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</si>
  <si>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</si>
  <si>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</si>
  <si>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</si>
  <si>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</si>
  <si>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</si>
  <si>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</si>
  <si>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</si>
  <si>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Каша гречневая  рассыпчатая с маслом</t>
  </si>
  <si>
    <t>Итого за 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</si>
  <si>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</si>
  <si>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</si>
  <si>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</si>
  <si>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</si>
  <si>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</si>
  <si>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</si>
  <si>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</si>
  <si>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</si>
  <si>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</si>
  <si>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</si>
  <si>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</si>
  <si>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</si>
  <si>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</si>
  <si>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</si>
  <si>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</si>
  <si>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</si>
  <si>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</si>
  <si>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Чай с лимоном</t>
  </si>
  <si>
    <t>Хлеб ржано-пшеничный</t>
  </si>
  <si>
    <t xml:space="preserve">Картофельное пюре с маслом сливочным </t>
  </si>
  <si>
    <t>Компот из быстрозамороженных ягод  (компотная смесь)</t>
  </si>
  <si>
    <t>Плов  с  птицей</t>
  </si>
  <si>
    <t xml:space="preserve">Жаркое по- домашнему </t>
  </si>
  <si>
    <t>Хлеб пшеничный</t>
  </si>
  <si>
    <t xml:space="preserve">Рацион: Школа </t>
  </si>
  <si>
    <t>Рацион: Школа</t>
  </si>
  <si>
    <t>В2</t>
  </si>
  <si>
    <t>ZN</t>
  </si>
  <si>
    <t>I</t>
  </si>
  <si>
    <t xml:space="preserve">I </t>
  </si>
  <si>
    <t>Итого в день</t>
  </si>
  <si>
    <t>% от суточной нормы</t>
  </si>
  <si>
    <t>суточная норма</t>
  </si>
  <si>
    <t>Приложение 8 к СанПиН 2.3/2.4.3590-20</t>
  </si>
  <si>
    <t>ПР</t>
  </si>
  <si>
    <t>Рекомендуется использование продуктов и сырья по ГОСТам на детскую продукцию для питания детей старше 3-х лет и на специализированное сырье для производства продукции детского питания.</t>
  </si>
  <si>
    <t>среднее ЭЦ  завтраки 2 нед</t>
  </si>
  <si>
    <t>среднее ЭЦ обеды 2 нед</t>
  </si>
  <si>
    <t>среднее ЭЦ полдник 2 нед</t>
  </si>
  <si>
    <t>*Итого за Завтрак (осенний период)</t>
  </si>
  <si>
    <t>Борщ "Сибирский" с фасолью</t>
  </si>
  <si>
    <t>Макаронные изделия отварные с маслом сливочным</t>
  </si>
  <si>
    <t>№ рец. по сборнику</t>
  </si>
  <si>
    <t>ПРИМЕЧАНИЕ  ** могут быть использованы нектары,морсы, напитки сокосодержащие (в т.ч. обогащенные)</t>
  </si>
  <si>
    <t>Суп картофельный с горохом на м/б</t>
  </si>
  <si>
    <t>Суп картофельный с макаронными изделиями на м/б</t>
  </si>
  <si>
    <t xml:space="preserve">Компот из смеси сухофруктов     </t>
  </si>
  <si>
    <t>Пудинг творожный</t>
  </si>
  <si>
    <t>Сгущенное молоко</t>
  </si>
  <si>
    <t>Борщ со свежей капустой на м/б</t>
  </si>
  <si>
    <t xml:space="preserve">Рис отварной с маслом сливочным </t>
  </si>
  <si>
    <t>Суп картофельный (с крупой) на м/б</t>
  </si>
  <si>
    <t xml:space="preserve">Фрукт порционно </t>
  </si>
  <si>
    <t>Каша манная молочная с маслом сливочным</t>
  </si>
  <si>
    <t>Молоко ''Авишка''</t>
  </si>
  <si>
    <t xml:space="preserve">Рыба, запеченная с овощами </t>
  </si>
  <si>
    <t>Напиток лимонный</t>
  </si>
  <si>
    <t xml:space="preserve">Завтрак </t>
  </si>
  <si>
    <t xml:space="preserve">Итого за Завтрак </t>
  </si>
  <si>
    <t>с 7-11 лет;12 и старше</t>
  </si>
  <si>
    <t>ПРИМЕЧАНИЕ: * замена на весенний период</t>
  </si>
  <si>
    <t>* 56</t>
  </si>
  <si>
    <t xml:space="preserve">Согласовано:
Директор                                                                                                                                                                                                              
  ________________   /                                              /
</t>
  </si>
  <si>
    <t>Перспективное меню и пищевая ценность приготовляемых блюд для ОГБОУ,МБОУ Алексеевского,Чернянского района на 2024 год</t>
  </si>
  <si>
    <t>Соус сметанный</t>
  </si>
  <si>
    <t>*45</t>
  </si>
  <si>
    <t xml:space="preserve">Бифштекс рубленый "Детский" </t>
  </si>
  <si>
    <t>Птица запеченная</t>
  </si>
  <si>
    <t>Бутерброд с маслом  30/8</t>
  </si>
  <si>
    <t>Бутерброд с сыром  30/15</t>
  </si>
  <si>
    <t>Гуляш мясной 70/50</t>
  </si>
  <si>
    <t>Салат из белокачанной капусты с морковью</t>
  </si>
  <si>
    <t>Котлета "Куриная " рубленная</t>
  </si>
  <si>
    <t>Каша рисовая молочная с маслом сливочным</t>
  </si>
  <si>
    <t>Рыбные биточки</t>
  </si>
  <si>
    <t>Блинчики с фруктовой начинкой п/ф и сахарной пудрой 160/5</t>
  </si>
  <si>
    <t>осенне-зимний</t>
  </si>
  <si>
    <t>Тефтели "Детские" с соусом 80/50</t>
  </si>
  <si>
    <t>Булка "Ромашка"</t>
  </si>
  <si>
    <t>Йогурт</t>
  </si>
  <si>
    <t>Макаронные изделия отварные с сыром 180/20</t>
  </si>
  <si>
    <t>Плов  по-купечески</t>
  </si>
  <si>
    <t>Кукуруза консервированная</t>
  </si>
  <si>
    <t>Горошек консервированный</t>
  </si>
  <si>
    <t>Холодная закуска: Овощи порционно /огурец соленый</t>
  </si>
  <si>
    <r>
      <t xml:space="preserve"> </t>
    </r>
    <r>
      <rPr>
        <i/>
        <sz val="9"/>
        <color indexed="8"/>
        <rFont val="Arial"/>
        <family val="2"/>
        <charset val="204"/>
      </rPr>
      <t xml:space="preserve">Икра кабачковая </t>
    </r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</si>
  <si>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</si>
  <si>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Салат из свежей капусты   "Молодость"</t>
  </si>
  <si>
    <t>Капуста квашенная</t>
  </si>
  <si>
    <t>Кондитерское изделие</t>
  </si>
  <si>
    <t>Утверждаю:
Председатель 
СПСК "БизнесЦентр"
_______Фоминова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</si>
</sst>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.0"/>
    <numFmt numFmtId="184" formatCode="0.000"/>
    <numFmt numFmtId="185" formatCode="0.0000"/>
    <numFmt numFmtId="193" formatCode="0.0%"/>
  </numFmts>
  <fonts count="22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7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244">
    <xf numFmtId="0" fontId="0" fillId="0" borderId="0" xfId="0"/>
    <xf numFmtId="0" fontId="3" fillId="0" borderId="0" xfId="0" applyFont="1"/>
    <xf numFmtId="0" fontId="3" fillId="4" borderId="0" xfId="0" applyFont="1" applyFill="1"/>
    <xf numFmtId="10" fontId="3" fillId="0" borderId="0" xfId="0" applyNumberFormat="1" applyFont="1"/>
    <xf numFmtId="0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 indent="1"/>
    </xf>
    <xf numFmtId="0" fontId="3" fillId="4" borderId="1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 inden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3" fillId="4" borderId="2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3" fillId="4" borderId="2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indent="1"/>
    </xf>
    <xf numFmtId="0" fontId="2" fillId="4" borderId="2" xfId="0" applyNumberFormat="1" applyFont="1" applyFill="1" applyBorder="1" applyAlignment="1">
      <alignment horizontal="left"/>
    </xf>
    <xf numFmtId="2" fontId="2" fillId="4" borderId="2" xfId="0" applyNumberFormat="1" applyFont="1" applyFill="1" applyBorder="1" applyAlignment="1">
      <alignment horizontal="left" indent="1"/>
    </xf>
    <xf numFmtId="0" fontId="0" fillId="4" borderId="2" xfId="0" applyFill="1" applyBorder="1" applyAlignment="1">
      <alignment horizontal="left"/>
    </xf>
    <xf numFmtId="182" fontId="2" fillId="4" borderId="3" xfId="0" applyNumberFormat="1" applyFont="1" applyFill="1" applyBorder="1" applyAlignment="1">
      <alignment horizontal="center" vertical="top"/>
    </xf>
    <xf numFmtId="2" fontId="2" fillId="4" borderId="2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horizontal="center" vertical="top"/>
    </xf>
    <xf numFmtId="9" fontId="2" fillId="4" borderId="1" xfId="0" applyNumberFormat="1" applyFont="1" applyFill="1" applyBorder="1" applyAlignment="1">
      <alignment horizontal="center" vertical="top"/>
    </xf>
    <xf numFmtId="9" fontId="2" fillId="4" borderId="2" xfId="0" applyNumberFormat="1" applyFont="1" applyFill="1" applyBorder="1" applyAlignment="1">
      <alignment horizontal="center" vertical="top"/>
    </xf>
    <xf numFmtId="182" fontId="2" fillId="4" borderId="1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center" vertical="top"/>
    </xf>
    <xf numFmtId="193" fontId="2" fillId="4" borderId="1" xfId="0" applyNumberFormat="1" applyFont="1" applyFill="1" applyBorder="1" applyAlignment="1">
      <alignment horizontal="center" vertical="top"/>
    </xf>
    <xf numFmtId="193" fontId="2" fillId="4" borderId="2" xfId="0" applyNumberFormat="1" applyFont="1" applyFill="1" applyBorder="1" applyAlignment="1">
      <alignment horizontal="center" vertical="top"/>
    </xf>
    <xf numFmtId="182" fontId="3" fillId="0" borderId="0" xfId="0" applyNumberFormat="1" applyFont="1" applyFill="1" applyBorder="1" applyAlignment="1">
      <alignment horizontal="center" vertical="top"/>
    </xf>
    <xf numFmtId="182" fontId="2" fillId="4" borderId="4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/>
    </xf>
    <xf numFmtId="2" fontId="3" fillId="4" borderId="2" xfId="0" applyNumberFormat="1" applyFont="1" applyFill="1" applyBorder="1" applyAlignment="1">
      <alignment horizontal="center" vertical="top"/>
    </xf>
    <xf numFmtId="10" fontId="2" fillId="4" borderId="3" xfId="0" applyNumberFormat="1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left"/>
    </xf>
    <xf numFmtId="0" fontId="4" fillId="0" borderId="0" xfId="0" applyFont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3" fillId="4" borderId="2" xfId="0" applyNumberFormat="1" applyFont="1" applyFill="1" applyBorder="1" applyAlignment="1">
      <alignment horizontal="center" wrapText="1"/>
    </xf>
    <xf numFmtId="0" fontId="0" fillId="3" borderId="0" xfId="0" applyFont="1" applyFill="1"/>
    <xf numFmtId="2" fontId="3" fillId="0" borderId="0" xfId="0" applyNumberFormat="1" applyFont="1"/>
    <xf numFmtId="0" fontId="3" fillId="4" borderId="0" xfId="0" applyFont="1" applyFill="1"/>
    <xf numFmtId="2" fontId="2" fillId="4" borderId="2" xfId="0" applyNumberFormat="1" applyFont="1" applyFill="1" applyBorder="1" applyAlignment="1">
      <alignment horizontal="center" vertical="top"/>
    </xf>
    <xf numFmtId="182" fontId="2" fillId="4" borderId="2" xfId="0" applyNumberFormat="1" applyFont="1" applyFill="1" applyBorder="1" applyAlignment="1">
      <alignment horizontal="center" vertical="top"/>
    </xf>
    <xf numFmtId="182" fontId="2" fillId="4" borderId="1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horizontal="center" vertical="top"/>
    </xf>
    <xf numFmtId="2" fontId="3" fillId="4" borderId="2" xfId="0" applyNumberFormat="1" applyFont="1" applyFill="1" applyBorder="1" applyAlignment="1">
      <alignment horizontal="center" vertical="top"/>
    </xf>
    <xf numFmtId="2" fontId="3" fillId="4" borderId="3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3" fillId="4" borderId="0" xfId="0" applyFont="1" applyFill="1"/>
    <xf numFmtId="2" fontId="3" fillId="4" borderId="1" xfId="0" applyNumberFormat="1" applyFont="1" applyFill="1" applyBorder="1" applyAlignment="1">
      <alignment horizontal="center" vertical="top" wrapText="1"/>
    </xf>
    <xf numFmtId="2" fontId="3" fillId="4" borderId="2" xfId="0" applyNumberFormat="1" applyFont="1" applyFill="1" applyBorder="1" applyAlignment="1">
      <alignment horizontal="center" vertical="top" wrapText="1"/>
    </xf>
    <xf numFmtId="182" fontId="2" fillId="4" borderId="3" xfId="0" applyNumberFormat="1" applyFont="1" applyFill="1" applyBorder="1" applyAlignment="1">
      <alignment horizontal="center" vertical="top"/>
    </xf>
    <xf numFmtId="2" fontId="2" fillId="4" borderId="2" xfId="0" applyNumberFormat="1" applyFont="1" applyFill="1" applyBorder="1" applyAlignment="1">
      <alignment horizontal="center" vertical="top"/>
    </xf>
    <xf numFmtId="182" fontId="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center" vertical="top"/>
    </xf>
    <xf numFmtId="0" fontId="12" fillId="4" borderId="0" xfId="0" applyFont="1" applyFill="1"/>
    <xf numFmtId="2" fontId="12" fillId="4" borderId="0" xfId="0" applyNumberFormat="1" applyFont="1" applyFill="1"/>
    <xf numFmtId="2" fontId="12" fillId="4" borderId="1" xfId="0" applyNumberFormat="1" applyFont="1" applyFill="1" applyBorder="1" applyAlignment="1">
      <alignment horizontal="center" vertical="top" wrapText="1"/>
    </xf>
    <xf numFmtId="2" fontId="12" fillId="4" borderId="2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13" fillId="4" borderId="0" xfId="0" applyFont="1" applyFill="1" applyBorder="1" applyAlignment="1">
      <alignment horizontal="left" indent="1"/>
    </xf>
    <xf numFmtId="0" fontId="12" fillId="4" borderId="1" xfId="0" applyNumberFormat="1" applyFont="1" applyFill="1" applyBorder="1" applyAlignment="1">
      <alignment horizontal="center" vertical="top"/>
    </xf>
    <xf numFmtId="0" fontId="12" fillId="4" borderId="2" xfId="0" applyNumberFormat="1" applyFont="1" applyFill="1" applyBorder="1" applyAlignment="1">
      <alignment horizontal="center" vertical="top"/>
    </xf>
    <xf numFmtId="0" fontId="3" fillId="4" borderId="2" xfId="0" applyNumberFormat="1" applyFont="1" applyFill="1" applyBorder="1" applyAlignment="1">
      <alignment horizontal="center" wrapText="1"/>
    </xf>
    <xf numFmtId="0" fontId="12" fillId="4" borderId="3" xfId="0" applyFont="1" applyFill="1" applyBorder="1"/>
    <xf numFmtId="2" fontId="14" fillId="4" borderId="3" xfId="0" applyNumberFormat="1" applyFont="1" applyFill="1" applyBorder="1" applyAlignment="1">
      <alignment horizontal="center" vertical="top"/>
    </xf>
    <xf numFmtId="0" fontId="12" fillId="3" borderId="0" xfId="0" applyFont="1" applyFill="1"/>
    <xf numFmtId="184" fontId="12" fillId="4" borderId="1" xfId="0" applyNumberFormat="1" applyFont="1" applyFill="1" applyBorder="1" applyAlignment="1">
      <alignment horizontal="center" vertical="top"/>
    </xf>
    <xf numFmtId="184" fontId="12" fillId="4" borderId="2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center" vertical="top"/>
    </xf>
    <xf numFmtId="0" fontId="12" fillId="4" borderId="0" xfId="0" applyFont="1" applyFill="1"/>
    <xf numFmtId="0" fontId="12" fillId="4" borderId="3" xfId="0" applyFont="1" applyFill="1" applyBorder="1"/>
    <xf numFmtId="2" fontId="14" fillId="4" borderId="3" xfId="0" applyNumberFormat="1" applyFont="1" applyFill="1" applyBorder="1" applyAlignment="1">
      <alignment horizontal="center" vertical="top"/>
    </xf>
    <xf numFmtId="0" fontId="15" fillId="4" borderId="0" xfId="0" applyFont="1" applyFill="1" applyAlignment="1">
      <alignment horizontal="left"/>
    </xf>
    <xf numFmtId="2" fontId="15" fillId="4" borderId="0" xfId="0" applyNumberFormat="1" applyFont="1" applyFill="1" applyAlignment="1">
      <alignment horizontal="left"/>
    </xf>
    <xf numFmtId="0" fontId="15" fillId="4" borderId="0" xfId="0" applyFont="1" applyFill="1"/>
    <xf numFmtId="2" fontId="15" fillId="4" borderId="0" xfId="0" applyNumberFormat="1" applyFont="1" applyFill="1"/>
    <xf numFmtId="0" fontId="15" fillId="4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1" fontId="15" fillId="4" borderId="0" xfId="0" applyNumberFormat="1" applyFont="1" applyFill="1" applyAlignment="1">
      <alignment horizontal="left"/>
    </xf>
    <xf numFmtId="0" fontId="15" fillId="4" borderId="5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2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/>
    </xf>
    <xf numFmtId="2" fontId="15" fillId="4" borderId="3" xfId="0" applyNumberFormat="1" applyFont="1" applyFill="1" applyBorder="1" applyAlignment="1">
      <alignment horizontal="center"/>
    </xf>
    <xf numFmtId="1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top" wrapText="1"/>
    </xf>
    <xf numFmtId="2" fontId="15" fillId="4" borderId="3" xfId="0" applyNumberFormat="1" applyFont="1" applyFill="1" applyBorder="1" applyAlignment="1">
      <alignment horizontal="center" vertical="top" wrapText="1"/>
    </xf>
    <xf numFmtId="184" fontId="15" fillId="4" borderId="3" xfId="0" applyNumberFormat="1" applyFont="1" applyFill="1" applyBorder="1" applyAlignment="1">
      <alignment horizontal="center" vertical="top" wrapText="1"/>
    </xf>
    <xf numFmtId="1" fontId="15" fillId="4" borderId="3" xfId="0" applyNumberFormat="1" applyFont="1" applyFill="1" applyBorder="1" applyAlignment="1">
      <alignment horizontal="center" vertical="top" wrapText="1"/>
    </xf>
    <xf numFmtId="1" fontId="15" fillId="4" borderId="3" xfId="0" applyNumberFormat="1" applyFont="1" applyFill="1" applyBorder="1" applyAlignment="1">
      <alignment horizontal="center" vertical="top"/>
    </xf>
    <xf numFmtId="2" fontId="15" fillId="4" borderId="3" xfId="0" applyNumberFormat="1" applyFont="1" applyFill="1" applyBorder="1" applyAlignment="1">
      <alignment horizontal="center" vertical="top"/>
    </xf>
    <xf numFmtId="0" fontId="15" fillId="4" borderId="3" xfId="0" applyNumberFormat="1" applyFont="1" applyFill="1" applyBorder="1" applyAlignment="1">
      <alignment horizontal="center" vertical="top"/>
    </xf>
    <xf numFmtId="0" fontId="15" fillId="4" borderId="3" xfId="0" applyNumberFormat="1" applyFont="1" applyFill="1" applyBorder="1" applyAlignment="1">
      <alignment horizontal="center" vertical="center"/>
    </xf>
    <xf numFmtId="184" fontId="15" fillId="4" borderId="3" xfId="0" applyNumberFormat="1" applyFont="1" applyFill="1" applyBorder="1" applyAlignment="1">
      <alignment horizontal="center" vertical="top"/>
    </xf>
    <xf numFmtId="1" fontId="15" fillId="3" borderId="7" xfId="1" applyNumberFormat="1" applyFont="1" applyFill="1" applyBorder="1" applyAlignment="1">
      <alignment horizontal="center" vertical="center"/>
    </xf>
    <xf numFmtId="0" fontId="15" fillId="3" borderId="7" xfId="1" applyNumberFormat="1" applyFont="1" applyFill="1" applyBorder="1" applyAlignment="1">
      <alignment horizontal="center" vertical="top"/>
    </xf>
    <xf numFmtId="2" fontId="16" fillId="3" borderId="8" xfId="0" applyNumberFormat="1" applyFont="1" applyFill="1" applyBorder="1" applyAlignment="1"/>
    <xf numFmtId="2" fontId="15" fillId="3" borderId="7" xfId="1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/>
    <xf numFmtId="0" fontId="16" fillId="4" borderId="10" xfId="0" applyFont="1" applyFill="1" applyBorder="1" applyAlignment="1"/>
    <xf numFmtId="1" fontId="16" fillId="4" borderId="3" xfId="0" applyNumberFormat="1" applyFont="1" applyFill="1" applyBorder="1" applyAlignment="1"/>
    <xf numFmtId="2" fontId="16" fillId="4" borderId="3" xfId="0" applyNumberFormat="1" applyFont="1" applyFill="1" applyBorder="1" applyAlignment="1"/>
    <xf numFmtId="10" fontId="16" fillId="4" borderId="10" xfId="0" applyNumberFormat="1" applyFont="1" applyFill="1" applyBorder="1" applyAlignment="1">
      <alignment horizontal="left"/>
    </xf>
    <xf numFmtId="10" fontId="16" fillId="4" borderId="10" xfId="0" applyNumberFormat="1" applyFont="1" applyFill="1" applyBorder="1" applyAlignment="1">
      <alignment horizontal="center" vertical="top"/>
    </xf>
    <xf numFmtId="10" fontId="16" fillId="4" borderId="3" xfId="0" applyNumberFormat="1" applyFont="1" applyFill="1" applyBorder="1" applyAlignment="1">
      <alignment horizontal="center" vertical="top"/>
    </xf>
    <xf numFmtId="193" fontId="16" fillId="4" borderId="3" xfId="0" applyNumberFormat="1" applyFont="1" applyFill="1" applyBorder="1" applyAlignment="1">
      <alignment horizontal="center" vertical="top"/>
    </xf>
    <xf numFmtId="182" fontId="15" fillId="4" borderId="3" xfId="0" applyNumberFormat="1" applyFont="1" applyFill="1" applyBorder="1" applyAlignment="1">
      <alignment horizontal="center" vertical="top"/>
    </xf>
    <xf numFmtId="185" fontId="15" fillId="4" borderId="3" xfId="0" applyNumberFormat="1" applyFont="1" applyFill="1" applyBorder="1" applyAlignment="1">
      <alignment horizontal="center" vertical="top"/>
    </xf>
    <xf numFmtId="1" fontId="15" fillId="3" borderId="7" xfId="1" applyNumberFormat="1" applyFont="1" applyFill="1" applyBorder="1" applyAlignment="1">
      <alignment horizontal="center" vertical="top"/>
    </xf>
    <xf numFmtId="2" fontId="15" fillId="3" borderId="7" xfId="1" applyNumberFormat="1" applyFont="1" applyFill="1" applyBorder="1" applyAlignment="1">
      <alignment horizontal="center" vertical="top"/>
    </xf>
    <xf numFmtId="2" fontId="15" fillId="4" borderId="3" xfId="0" applyNumberFormat="1" applyFont="1" applyFill="1" applyBorder="1" applyAlignment="1">
      <alignment horizontal="center" vertical="center"/>
    </xf>
    <xf numFmtId="2" fontId="16" fillId="4" borderId="3" xfId="0" applyNumberFormat="1" applyFont="1" applyFill="1" applyBorder="1" applyAlignment="1">
      <alignment horizontal="center" vertical="top"/>
    </xf>
    <xf numFmtId="182" fontId="16" fillId="4" borderId="3" xfId="0" applyNumberFormat="1" applyFont="1" applyFill="1" applyBorder="1" applyAlignment="1">
      <alignment horizontal="center" vertical="top"/>
    </xf>
    <xf numFmtId="1" fontId="16" fillId="4" borderId="3" xfId="0" applyNumberFormat="1" applyFont="1" applyFill="1" applyBorder="1" applyAlignment="1">
      <alignment horizontal="center" vertical="top"/>
    </xf>
    <xf numFmtId="184" fontId="16" fillId="4" borderId="3" xfId="0" applyNumberFormat="1" applyFont="1" applyFill="1" applyBorder="1" applyAlignment="1">
      <alignment horizontal="center" vertical="top"/>
    </xf>
    <xf numFmtId="1" fontId="15" fillId="3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top"/>
    </xf>
    <xf numFmtId="2" fontId="15" fillId="5" borderId="7" xfId="0" applyNumberFormat="1" applyFont="1" applyFill="1" applyBorder="1" applyAlignment="1">
      <alignment horizontal="center" vertical="top"/>
    </xf>
    <xf numFmtId="184" fontId="15" fillId="3" borderId="7" xfId="0" applyNumberFormat="1" applyFont="1" applyFill="1" applyBorder="1" applyAlignment="1">
      <alignment horizontal="center" vertical="top"/>
    </xf>
    <xf numFmtId="0" fontId="15" fillId="3" borderId="7" xfId="0" applyNumberFormat="1" applyFont="1" applyFill="1" applyBorder="1" applyAlignment="1">
      <alignment horizontal="center" vertical="top"/>
    </xf>
    <xf numFmtId="182" fontId="15" fillId="3" borderId="7" xfId="0" applyNumberFormat="1" applyFont="1" applyFill="1" applyBorder="1" applyAlignment="1">
      <alignment horizontal="center" vertical="top"/>
    </xf>
    <xf numFmtId="0" fontId="15" fillId="3" borderId="7" xfId="1" applyNumberFormat="1" applyFont="1" applyFill="1" applyBorder="1" applyAlignment="1">
      <alignment horizontal="center" vertical="center"/>
    </xf>
    <xf numFmtId="10" fontId="16" fillId="4" borderId="11" xfId="0" applyNumberFormat="1" applyFont="1" applyFill="1" applyBorder="1" applyAlignment="1">
      <alignment horizontal="left"/>
    </xf>
    <xf numFmtId="1" fontId="16" fillId="4" borderId="11" xfId="0" applyNumberFormat="1" applyFont="1" applyFill="1" applyBorder="1" applyAlignment="1"/>
    <xf numFmtId="2" fontId="16" fillId="4" borderId="11" xfId="0" applyNumberFormat="1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9" fontId="16" fillId="4" borderId="3" xfId="0" applyNumberFormat="1" applyFont="1" applyFill="1" applyBorder="1" applyAlignment="1">
      <alignment horizontal="center" vertical="top"/>
    </xf>
    <xf numFmtId="0" fontId="16" fillId="4" borderId="0" xfId="0" applyNumberFormat="1" applyFont="1" applyFill="1" applyAlignment="1">
      <alignment horizontal="right"/>
    </xf>
    <xf numFmtId="0" fontId="15" fillId="3" borderId="7" xfId="0" applyNumberFormat="1" applyFont="1" applyFill="1" applyBorder="1" applyAlignment="1">
      <alignment horizontal="center" vertical="center"/>
    </xf>
    <xf numFmtId="2" fontId="16" fillId="4" borderId="9" xfId="0" applyNumberFormat="1" applyFont="1" applyFill="1" applyBorder="1" applyAlignment="1"/>
    <xf numFmtId="2" fontId="16" fillId="4" borderId="10" xfId="0" applyNumberFormat="1" applyFont="1" applyFill="1" applyBorder="1" applyAlignment="1"/>
    <xf numFmtId="2" fontId="15" fillId="4" borderId="1" xfId="0" applyNumberFormat="1" applyFont="1" applyFill="1" applyBorder="1" applyAlignment="1">
      <alignment horizontal="center" vertical="top"/>
    </xf>
    <xf numFmtId="1" fontId="15" fillId="2" borderId="3" xfId="1" applyNumberFormat="1" applyFont="1" applyFill="1" applyBorder="1" applyAlignment="1">
      <alignment horizontal="center" vertical="center"/>
    </xf>
    <xf numFmtId="1" fontId="15" fillId="2" borderId="3" xfId="1" applyNumberFormat="1" applyFont="1" applyFill="1" applyBorder="1" applyAlignment="1">
      <alignment horizontal="center" vertical="top"/>
    </xf>
    <xf numFmtId="2" fontId="15" fillId="2" borderId="3" xfId="1" applyNumberFormat="1" applyFont="1" applyFill="1" applyBorder="1" applyAlignment="1">
      <alignment horizontal="center" vertical="top"/>
    </xf>
    <xf numFmtId="0" fontId="15" fillId="2" borderId="3" xfId="1" applyNumberFormat="1" applyFont="1" applyFill="1" applyBorder="1" applyAlignment="1">
      <alignment horizontal="center" vertical="top"/>
    </xf>
    <xf numFmtId="182" fontId="15" fillId="2" borderId="3" xfId="1" applyNumberFormat="1" applyFont="1" applyFill="1" applyBorder="1" applyAlignment="1">
      <alignment horizontal="center" vertical="top"/>
    </xf>
    <xf numFmtId="184" fontId="15" fillId="2" borderId="3" xfId="1" applyNumberFormat="1" applyFont="1" applyFill="1" applyBorder="1" applyAlignment="1">
      <alignment horizontal="center" vertical="top"/>
    </xf>
    <xf numFmtId="0" fontId="16" fillId="4" borderId="3" xfId="0" applyNumberFormat="1" applyFont="1" applyFill="1" applyBorder="1" applyAlignment="1">
      <alignment horizontal="center" vertical="top"/>
    </xf>
    <xf numFmtId="0" fontId="15" fillId="4" borderId="4" xfId="0" applyNumberFormat="1" applyFont="1" applyFill="1" applyBorder="1" applyAlignment="1">
      <alignment horizontal="center" vertical="center" wrapText="1"/>
    </xf>
    <xf numFmtId="2" fontId="15" fillId="5" borderId="7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/>
    <xf numFmtId="0" fontId="16" fillId="4" borderId="0" xfId="0" applyFont="1" applyFill="1" applyBorder="1" applyAlignment="1">
      <alignment horizontal="left"/>
    </xf>
    <xf numFmtId="10" fontId="16" fillId="4" borderId="0" xfId="7" applyNumberFormat="1" applyFont="1" applyFill="1"/>
    <xf numFmtId="193" fontId="16" fillId="4" borderId="4" xfId="7" applyNumberFormat="1" applyFont="1" applyFill="1" applyBorder="1"/>
    <xf numFmtId="0" fontId="17" fillId="4" borderId="9" xfId="0" applyFont="1" applyFill="1" applyBorder="1" applyAlignment="1">
      <alignment horizontal="left"/>
    </xf>
    <xf numFmtId="0" fontId="17" fillId="4" borderId="10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2" fontId="16" fillId="4" borderId="3" xfId="7" applyNumberFormat="1" applyFont="1" applyFill="1" applyBorder="1"/>
    <xf numFmtId="193" fontId="16" fillId="4" borderId="3" xfId="7" applyNumberFormat="1" applyFont="1" applyFill="1" applyBorder="1"/>
    <xf numFmtId="193" fontId="16" fillId="4" borderId="0" xfId="7" applyNumberFormat="1" applyFont="1" applyFill="1"/>
    <xf numFmtId="10" fontId="16" fillId="4" borderId="3" xfId="7" applyNumberFormat="1" applyFont="1" applyFill="1" applyBorder="1"/>
    <xf numFmtId="0" fontId="18" fillId="4" borderId="0" xfId="0" applyFont="1" applyFill="1" applyAlignment="1">
      <alignment horizontal="left" vertical="center"/>
    </xf>
    <xf numFmtId="184" fontId="16" fillId="4" borderId="3" xfId="0" applyNumberFormat="1" applyFont="1" applyFill="1" applyBorder="1" applyAlignment="1"/>
    <xf numFmtId="2" fontId="16" fillId="3" borderId="12" xfId="0" applyNumberFormat="1" applyFont="1" applyFill="1" applyBorder="1" applyAlignment="1"/>
    <xf numFmtId="2" fontId="16" fillId="4" borderId="11" xfId="0" applyNumberFormat="1" applyFont="1" applyFill="1" applyBorder="1" applyAlignment="1"/>
    <xf numFmtId="3" fontId="15" fillId="3" borderId="7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left"/>
    </xf>
    <xf numFmtId="0" fontId="19" fillId="4" borderId="0" xfId="0" applyFont="1" applyFill="1" applyAlignment="1">
      <alignment vertical="center"/>
    </xf>
    <xf numFmtId="2" fontId="1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2" fontId="15" fillId="2" borderId="3" xfId="1" applyNumberFormat="1" applyFont="1" applyFill="1" applyBorder="1" applyAlignment="1">
      <alignment horizontal="center" vertical="center"/>
    </xf>
    <xf numFmtId="0" fontId="15" fillId="2" borderId="3" xfId="1" applyNumberFormat="1" applyFont="1" applyFill="1" applyBorder="1" applyAlignment="1">
      <alignment horizontal="center" vertical="center"/>
    </xf>
    <xf numFmtId="182" fontId="15" fillId="2" borderId="3" xfId="1" applyNumberFormat="1" applyFont="1" applyFill="1" applyBorder="1" applyAlignment="1">
      <alignment horizontal="center" vertical="center"/>
    </xf>
    <xf numFmtId="184" fontId="15" fillId="2" borderId="3" xfId="1" applyNumberFormat="1" applyFont="1" applyFill="1" applyBorder="1" applyAlignment="1">
      <alignment horizontal="center" vertical="center"/>
    </xf>
    <xf numFmtId="2" fontId="3" fillId="4" borderId="3" xfId="0" applyNumberFormat="1" applyFont="1" applyFill="1" applyBorder="1" applyAlignment="1">
      <alignment horizontal="center" vertical="top" wrapText="1"/>
    </xf>
    <xf numFmtId="2" fontId="15" fillId="3" borderId="25" xfId="1" applyNumberFormat="1" applyFont="1" applyFill="1" applyBorder="1" applyAlignment="1">
      <alignment horizontal="left" vertical="center" wrapText="1"/>
    </xf>
    <xf numFmtId="2" fontId="15" fillId="3" borderId="26" xfId="1" applyNumberFormat="1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4" borderId="0" xfId="0" applyNumberFormat="1" applyFont="1" applyFill="1" applyAlignment="1">
      <alignment horizontal="center"/>
    </xf>
    <xf numFmtId="0" fontId="15" fillId="4" borderId="5" xfId="0" applyNumberFormat="1" applyFont="1" applyFill="1" applyBorder="1" applyAlignment="1">
      <alignment horizontal="center" vertical="center" wrapText="1"/>
    </xf>
    <xf numFmtId="0" fontId="15" fillId="4" borderId="19" xfId="0" applyNumberFormat="1" applyFont="1" applyFill="1" applyBorder="1" applyAlignment="1">
      <alignment horizontal="center" vertical="center" wrapText="1"/>
    </xf>
    <xf numFmtId="0" fontId="15" fillId="4" borderId="20" xfId="0" applyNumberFormat="1" applyFont="1" applyFill="1" applyBorder="1" applyAlignment="1">
      <alignment horizontal="center" vertical="center" wrapText="1"/>
    </xf>
    <xf numFmtId="0" fontId="15" fillId="4" borderId="21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1" xfId="0" applyFont="1" applyFill="1" applyBorder="1" applyAlignment="1">
      <alignment horizontal="left"/>
    </xf>
    <xf numFmtId="0" fontId="15" fillId="4" borderId="9" xfId="0" applyNumberFormat="1" applyFont="1" applyFill="1" applyBorder="1" applyAlignment="1">
      <alignment horizontal="center" vertical="center" wrapText="1"/>
    </xf>
    <xf numFmtId="0" fontId="15" fillId="4" borderId="10" xfId="0" applyNumberFormat="1" applyFont="1" applyFill="1" applyBorder="1" applyAlignment="1">
      <alignment horizontal="center" vertical="center" wrapText="1"/>
    </xf>
    <xf numFmtId="0" fontId="15" fillId="4" borderId="1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wrapText="1"/>
    </xf>
    <xf numFmtId="0" fontId="15" fillId="4" borderId="9" xfId="0" applyNumberFormat="1" applyFont="1" applyFill="1" applyBorder="1" applyAlignment="1">
      <alignment horizontal="left" vertical="center" wrapText="1"/>
    </xf>
    <xf numFmtId="0" fontId="15" fillId="4" borderId="11" xfId="0" applyNumberFormat="1" applyFont="1" applyFill="1" applyBorder="1" applyAlignment="1">
      <alignment horizontal="left" vertical="center" wrapText="1"/>
    </xf>
    <xf numFmtId="1" fontId="15" fillId="4" borderId="9" xfId="0" applyNumberFormat="1" applyFont="1" applyFill="1" applyBorder="1" applyAlignment="1">
      <alignment horizontal="center" vertical="center"/>
    </xf>
    <xf numFmtId="1" fontId="15" fillId="4" borderId="11" xfId="0" applyNumberFormat="1" applyFont="1" applyFill="1" applyBorder="1" applyAlignment="1">
      <alignment horizontal="center" vertical="center"/>
    </xf>
    <xf numFmtId="0" fontId="15" fillId="3" borderId="7" xfId="1" applyNumberFormat="1" applyFont="1" applyFill="1" applyBorder="1" applyAlignment="1">
      <alignment horizontal="left" vertical="center" wrapText="1"/>
    </xf>
    <xf numFmtId="0" fontId="16" fillId="4" borderId="13" xfId="0" applyNumberFormat="1" applyFont="1" applyFill="1" applyBorder="1" applyAlignment="1">
      <alignment horizontal="right"/>
    </xf>
    <xf numFmtId="0" fontId="16" fillId="4" borderId="0" xfId="0" applyNumberFormat="1" applyFont="1" applyFill="1" applyAlignment="1">
      <alignment horizontal="right"/>
    </xf>
    <xf numFmtId="0" fontId="16" fillId="4" borderId="3" xfId="0" applyFont="1" applyFill="1" applyBorder="1" applyAlignment="1">
      <alignment horizontal="left" indent="1"/>
    </xf>
    <xf numFmtId="0" fontId="15" fillId="4" borderId="4" xfId="0" applyNumberFormat="1" applyFont="1" applyFill="1" applyBorder="1" applyAlignment="1">
      <alignment horizontal="center" vertical="center" wrapText="1"/>
    </xf>
    <xf numFmtId="0" fontId="15" fillId="4" borderId="6" xfId="0" applyNumberFormat="1" applyFont="1" applyFill="1" applyBorder="1" applyAlignment="1">
      <alignment horizontal="center" vertical="center" wrapText="1"/>
    </xf>
    <xf numFmtId="2" fontId="15" fillId="3" borderId="22" xfId="0" applyNumberFormat="1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3" borderId="7" xfId="0" applyNumberFormat="1" applyFont="1" applyFill="1" applyBorder="1" applyAlignment="1">
      <alignment horizontal="left" vertical="center" wrapText="1"/>
    </xf>
    <xf numFmtId="10" fontId="16" fillId="4" borderId="9" xfId="0" applyNumberFormat="1" applyFont="1" applyFill="1" applyBorder="1" applyAlignment="1">
      <alignment horizontal="left"/>
    </xf>
    <xf numFmtId="10" fontId="16" fillId="4" borderId="10" xfId="0" applyNumberFormat="1" applyFont="1" applyFill="1" applyBorder="1" applyAlignment="1">
      <alignment horizontal="left"/>
    </xf>
    <xf numFmtId="10" fontId="16" fillId="4" borderId="11" xfId="0" applyNumberFormat="1" applyFont="1" applyFill="1" applyBorder="1" applyAlignment="1">
      <alignment horizontal="left"/>
    </xf>
    <xf numFmtId="0" fontId="16" fillId="4" borderId="0" xfId="0" applyNumberFormat="1" applyFont="1" applyFill="1" applyAlignment="1">
      <alignment horizontal="left"/>
    </xf>
    <xf numFmtId="0" fontId="15" fillId="4" borderId="3" xfId="0" applyNumberFormat="1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center" wrapText="1"/>
    </xf>
    <xf numFmtId="0" fontId="15" fillId="4" borderId="0" xfId="0" applyNumberFormat="1" applyFont="1" applyFill="1" applyAlignment="1">
      <alignment horizontal="right"/>
    </xf>
    <xf numFmtId="1" fontId="15" fillId="4" borderId="3" xfId="0" applyNumberFormat="1" applyFont="1" applyFill="1" applyBorder="1" applyAlignment="1">
      <alignment horizontal="center" vertical="center"/>
    </xf>
    <xf numFmtId="0" fontId="15" fillId="3" borderId="22" xfId="1" applyNumberFormat="1" applyFont="1" applyFill="1" applyBorder="1" applyAlignment="1">
      <alignment horizontal="left" vertical="center" wrapText="1"/>
    </xf>
    <xf numFmtId="0" fontId="15" fillId="3" borderId="8" xfId="1" applyNumberFormat="1" applyFont="1" applyFill="1" applyBorder="1" applyAlignment="1">
      <alignment horizontal="left" vertical="center" wrapText="1"/>
    </xf>
    <xf numFmtId="0" fontId="15" fillId="4" borderId="9" xfId="1" applyNumberFormat="1" applyFont="1" applyFill="1" applyBorder="1" applyAlignment="1">
      <alignment horizontal="left" vertical="center" wrapText="1"/>
    </xf>
    <xf numFmtId="0" fontId="15" fillId="2" borderId="11" xfId="1" applyNumberFormat="1" applyFont="1" applyFill="1" applyBorder="1" applyAlignment="1">
      <alignment horizontal="left" vertical="center" wrapText="1"/>
    </xf>
    <xf numFmtId="0" fontId="2" fillId="4" borderId="4" xfId="0" applyNumberFormat="1" applyFont="1" applyFill="1" applyBorder="1" applyAlignment="1">
      <alignment horizontal="center" wrapText="1"/>
    </xf>
    <xf numFmtId="0" fontId="2" fillId="4" borderId="2" xfId="0" applyNumberFormat="1" applyFont="1" applyFill="1" applyBorder="1" applyAlignment="1">
      <alignment horizontal="center" wrapText="1"/>
    </xf>
    <xf numFmtId="0" fontId="2" fillId="4" borderId="6" xfId="0" applyNumberFormat="1" applyFont="1" applyFill="1" applyBorder="1" applyAlignment="1">
      <alignment horizontal="center" wrapText="1"/>
    </xf>
    <xf numFmtId="0" fontId="16" fillId="4" borderId="9" xfId="0" applyFont="1" applyFill="1" applyBorder="1" applyAlignment="1">
      <alignment horizontal="left" indent="1"/>
    </xf>
    <xf numFmtId="0" fontId="16" fillId="4" borderId="10" xfId="0" applyFont="1" applyFill="1" applyBorder="1" applyAlignment="1">
      <alignment horizontal="left" indent="1"/>
    </xf>
    <xf numFmtId="0" fontId="16" fillId="4" borderId="11" xfId="0" applyFont="1" applyFill="1" applyBorder="1" applyAlignment="1">
      <alignment horizontal="left" indent="1"/>
    </xf>
    <xf numFmtId="0" fontId="3" fillId="4" borderId="2" xfId="0" applyNumberFormat="1" applyFont="1" applyFill="1" applyBorder="1" applyAlignment="1">
      <alignment horizontal="center" wrapText="1"/>
    </xf>
    <xf numFmtId="0" fontId="3" fillId="4" borderId="6" xfId="0" applyNumberFormat="1" applyFont="1" applyFill="1" applyBorder="1" applyAlignment="1">
      <alignment horizontal="center" wrapText="1"/>
    </xf>
    <xf numFmtId="0" fontId="20" fillId="4" borderId="0" xfId="0" applyNumberFormat="1" applyFont="1" applyFill="1" applyAlignment="1">
      <alignment horizontal="center"/>
    </xf>
    <xf numFmtId="0" fontId="15" fillId="3" borderId="23" xfId="0" applyNumberFormat="1" applyFont="1" applyFill="1" applyBorder="1" applyAlignment="1">
      <alignment horizontal="left" vertical="center" wrapText="1"/>
    </xf>
    <xf numFmtId="0" fontId="15" fillId="3" borderId="24" xfId="0" applyNumberFormat="1" applyFont="1" applyFill="1" applyBorder="1" applyAlignment="1">
      <alignment horizontal="left" vertical="center" wrapText="1"/>
    </xf>
    <xf numFmtId="2" fontId="16" fillId="4" borderId="9" xfId="0" applyNumberFormat="1" applyFont="1" applyFill="1" applyBorder="1" applyAlignment="1">
      <alignment horizontal="left" indent="1"/>
    </xf>
    <xf numFmtId="2" fontId="16" fillId="4" borderId="10" xfId="0" applyNumberFormat="1" applyFont="1" applyFill="1" applyBorder="1" applyAlignment="1">
      <alignment horizontal="left" indent="1"/>
    </xf>
    <xf numFmtId="2" fontId="16" fillId="4" borderId="11" xfId="0" applyNumberFormat="1" applyFont="1" applyFill="1" applyBorder="1" applyAlignment="1">
      <alignment horizontal="left" inden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3" borderId="22" xfId="0" applyNumberFormat="1" applyFont="1" applyFill="1" applyBorder="1" applyAlignment="1">
      <alignment horizontal="left" vertical="center" wrapText="1"/>
    </xf>
    <xf numFmtId="0" fontId="15" fillId="3" borderId="8" xfId="0" applyNumberFormat="1" applyFont="1" applyFill="1" applyBorder="1" applyAlignment="1">
      <alignment horizontal="left" vertical="center" wrapText="1"/>
    </xf>
    <xf numFmtId="0" fontId="15" fillId="4" borderId="14" xfId="0" applyNumberFormat="1" applyFont="1" applyFill="1" applyBorder="1" applyAlignment="1">
      <alignment horizontal="left" vertical="center" wrapText="1"/>
    </xf>
    <xf numFmtId="0" fontId="15" fillId="4" borderId="16" xfId="0" applyNumberFormat="1" applyFont="1" applyFill="1" applyBorder="1" applyAlignment="1">
      <alignment horizontal="left" vertical="center" wrapText="1"/>
    </xf>
    <xf numFmtId="2" fontId="15" fillId="3" borderId="7" xfId="1" applyNumberFormat="1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indent="1"/>
    </xf>
    <xf numFmtId="0" fontId="16" fillId="4" borderId="15" xfId="0" applyFont="1" applyFill="1" applyBorder="1" applyAlignment="1">
      <alignment horizontal="left" indent="1"/>
    </xf>
    <xf numFmtId="0" fontId="16" fillId="4" borderId="16" xfId="0" applyFont="1" applyFill="1" applyBorder="1" applyAlignment="1">
      <alignment horizontal="left" indent="1"/>
    </xf>
    <xf numFmtId="0" fontId="15" fillId="3" borderId="17" xfId="1" applyNumberFormat="1" applyFont="1" applyFill="1" applyBorder="1" applyAlignment="1">
      <alignment horizontal="left" vertical="center" wrapText="1"/>
    </xf>
    <xf numFmtId="0" fontId="15" fillId="3" borderId="18" xfId="1" applyNumberFormat="1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Процентный" xfId="7" builtinId="5"/>
    <cellStyle name="Процентный 2" xfId="8"/>
    <cellStyle name="Процентный 3" xfId="9"/>
    <cellStyle name="Процентный 4" xfId="10"/>
    <cellStyle name="Процентн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329"/>
  <sheetViews>
    <sheetView tabSelected="1" view="pageBreakPreview" zoomScale="80" zoomScaleNormal="80" zoomScaleSheetLayoutView="80" workbookViewId="0">
      <selection activeCell="G9" sqref="G9"/>
    </sheetView>
  </sheetViews>
  <sheetFormatPr defaultRowHeight="11.25" x14ac:dyDescent="0.2"/>
  <cols>
    <col min="1" max="1" width="9.5" style="171" customWidth="1"/>
    <col min="2" max="2" width="16.33203125" style="171" customWidth="1"/>
    <col min="3" max="3" width="25.1640625" style="171" customWidth="1"/>
    <col min="4" max="4" width="8" style="79" customWidth="1"/>
    <col min="5" max="5" width="9.6640625" style="79" customWidth="1"/>
    <col min="6" max="6" width="9.83203125" style="80" customWidth="1"/>
    <col min="7" max="7" width="9.6640625" style="79" customWidth="1"/>
    <col min="8" max="8" width="8.5" style="79" customWidth="1"/>
    <col min="9" max="9" width="10" style="79" customWidth="1"/>
    <col min="10" max="10" width="9" style="79" customWidth="1"/>
    <col min="11" max="11" width="9.83203125" style="79" customWidth="1"/>
    <col min="12" max="12" width="8.83203125" style="79" customWidth="1"/>
    <col min="13" max="13" width="10.33203125" style="79" customWidth="1"/>
    <col min="14" max="14" width="9.5" style="79" customWidth="1"/>
    <col min="15" max="15" width="9.33203125" style="79" customWidth="1"/>
    <col min="16" max="17" width="9.1640625" style="79" customWidth="1"/>
    <col min="18" max="18" width="9" style="79" customWidth="1"/>
    <col min="19" max="19" width="9.5" style="79" customWidth="1"/>
    <col min="20" max="20" width="8.6640625" style="79" customWidth="1"/>
    <col min="21" max="21" width="9.1640625" style="13" customWidth="1"/>
    <col min="22" max="23" width="9.1640625" style="22" customWidth="1"/>
    <col min="24" max="24" width="11.6640625" style="22" customWidth="1"/>
  </cols>
  <sheetData>
    <row r="1" spans="1:24" ht="48.75" customHeight="1" x14ac:dyDescent="0.2">
      <c r="A1" s="179" t="s">
        <v>86</v>
      </c>
      <c r="B1" s="179"/>
      <c r="C1" s="179"/>
      <c r="D1" s="179"/>
      <c r="Q1" s="192" t="s">
        <v>114</v>
      </c>
      <c r="R1" s="192"/>
      <c r="S1" s="192"/>
      <c r="T1" s="192"/>
    </row>
    <row r="2" spans="1:24" s="1" customFormat="1" ht="11.25" customHeight="1" x14ac:dyDescent="0.2">
      <c r="A2" s="180"/>
      <c r="B2" s="180"/>
      <c r="C2" s="180"/>
      <c r="D2" s="180"/>
      <c r="E2" s="81"/>
      <c r="F2" s="82"/>
      <c r="G2" s="81"/>
      <c r="H2" s="81"/>
      <c r="I2" s="81"/>
      <c r="J2" s="81"/>
      <c r="K2" s="81"/>
      <c r="L2" s="79"/>
      <c r="M2" s="213"/>
      <c r="N2" s="213"/>
      <c r="O2" s="213"/>
      <c r="P2" s="213"/>
      <c r="Q2" s="213"/>
      <c r="R2" s="213"/>
      <c r="S2" s="213"/>
      <c r="T2" s="213"/>
      <c r="U2" s="219"/>
      <c r="V2" s="225"/>
      <c r="W2" s="41"/>
      <c r="X2" s="225"/>
    </row>
    <row r="3" spans="1:24" s="1" customFormat="1" ht="11.25" customHeight="1" x14ac:dyDescent="0.2">
      <c r="A3" s="180"/>
      <c r="B3" s="180"/>
      <c r="C3" s="180"/>
      <c r="D3" s="180"/>
      <c r="E3" s="81"/>
      <c r="F3" s="82"/>
      <c r="G3" s="81"/>
      <c r="H3" s="81"/>
      <c r="I3" s="81"/>
      <c r="J3" s="81"/>
      <c r="K3" s="81"/>
      <c r="L3" s="79"/>
      <c r="M3" s="83"/>
      <c r="N3" s="83"/>
      <c r="O3" s="83"/>
      <c r="P3" s="83"/>
      <c r="Q3" s="83"/>
      <c r="R3" s="83"/>
      <c r="S3" s="83"/>
      <c r="T3" s="83"/>
      <c r="U3" s="220"/>
      <c r="V3" s="225"/>
      <c r="W3" s="68"/>
      <c r="X3" s="225"/>
    </row>
    <row r="4" spans="1:24" s="1" customFormat="1" ht="15.75" customHeight="1" x14ac:dyDescent="0.25">
      <c r="A4" s="227" t="s">
        <v>87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0"/>
      <c r="V4" s="225"/>
      <c r="W4" s="41"/>
      <c r="X4" s="225"/>
    </row>
    <row r="5" spans="1:24" s="1" customFormat="1" ht="11.25" customHeight="1" x14ac:dyDescent="0.2">
      <c r="A5" s="84" t="s">
        <v>48</v>
      </c>
      <c r="B5" s="85"/>
      <c r="C5" s="85"/>
      <c r="D5" s="79"/>
      <c r="E5" s="79"/>
      <c r="F5" s="82"/>
      <c r="G5" s="181" t="s">
        <v>0</v>
      </c>
      <c r="H5" s="181"/>
      <c r="I5" s="181"/>
      <c r="J5" s="81"/>
      <c r="K5" s="81"/>
      <c r="L5" s="199" t="s">
        <v>1</v>
      </c>
      <c r="M5" s="199"/>
      <c r="N5" s="211" t="s">
        <v>100</v>
      </c>
      <c r="O5" s="211"/>
      <c r="P5" s="211"/>
      <c r="Q5" s="211"/>
      <c r="R5" s="81"/>
      <c r="S5" s="81"/>
      <c r="T5" s="81"/>
      <c r="U5" s="220"/>
      <c r="V5" s="225"/>
      <c r="W5" s="41"/>
      <c r="X5" s="225"/>
    </row>
    <row r="6" spans="1:24" s="1" customFormat="1" ht="11.25" customHeight="1" x14ac:dyDescent="0.2">
      <c r="A6" s="85" t="s">
        <v>84</v>
      </c>
      <c r="B6" s="85"/>
      <c r="C6" s="85"/>
      <c r="D6" s="199" t="s">
        <v>2</v>
      </c>
      <c r="E6" s="199"/>
      <c r="F6" s="199"/>
      <c r="G6" s="86">
        <v>1</v>
      </c>
      <c r="H6" s="81"/>
      <c r="I6" s="79"/>
      <c r="J6" s="79"/>
      <c r="K6" s="79"/>
      <c r="L6" s="199" t="s">
        <v>3</v>
      </c>
      <c r="M6" s="199"/>
      <c r="N6" s="181" t="s">
        <v>83</v>
      </c>
      <c r="O6" s="181"/>
      <c r="P6" s="181"/>
      <c r="Q6" s="181"/>
      <c r="R6" s="181"/>
      <c r="S6" s="181"/>
      <c r="T6" s="181"/>
      <c r="U6" s="221"/>
      <c r="V6" s="226"/>
      <c r="W6" s="41"/>
      <c r="X6" s="225"/>
    </row>
    <row r="7" spans="1:24" s="1" customFormat="1" ht="21.75" customHeight="1" x14ac:dyDescent="0.2">
      <c r="A7" s="201" t="s">
        <v>4</v>
      </c>
      <c r="B7" s="182" t="s">
        <v>5</v>
      </c>
      <c r="C7" s="183"/>
      <c r="D7" s="201" t="s">
        <v>6</v>
      </c>
      <c r="E7" s="87"/>
      <c r="F7" s="189" t="s">
        <v>7</v>
      </c>
      <c r="G7" s="190"/>
      <c r="H7" s="191"/>
      <c r="I7" s="201" t="s">
        <v>8</v>
      </c>
      <c r="J7" s="189" t="s">
        <v>9</v>
      </c>
      <c r="K7" s="190"/>
      <c r="L7" s="190"/>
      <c r="M7" s="190"/>
      <c r="N7" s="191"/>
      <c r="O7" s="189" t="s">
        <v>10</v>
      </c>
      <c r="P7" s="190"/>
      <c r="Q7" s="190"/>
      <c r="R7" s="190"/>
      <c r="S7" s="190"/>
      <c r="T7" s="191"/>
      <c r="U7" s="4"/>
      <c r="V7" s="17"/>
      <c r="W7" s="17"/>
      <c r="X7" s="17"/>
    </row>
    <row r="8" spans="1:24" s="1" customFormat="1" ht="21" customHeight="1" x14ac:dyDescent="0.2">
      <c r="A8" s="202"/>
      <c r="B8" s="184"/>
      <c r="C8" s="185"/>
      <c r="D8" s="202"/>
      <c r="E8" s="88"/>
      <c r="F8" s="89" t="s">
        <v>11</v>
      </c>
      <c r="G8" s="90" t="s">
        <v>12</v>
      </c>
      <c r="H8" s="90" t="s">
        <v>13</v>
      </c>
      <c r="I8" s="202"/>
      <c r="J8" s="90" t="s">
        <v>14</v>
      </c>
      <c r="K8" s="90" t="s">
        <v>50</v>
      </c>
      <c r="L8" s="90" t="s">
        <v>15</v>
      </c>
      <c r="M8" s="90" t="s">
        <v>16</v>
      </c>
      <c r="N8" s="90" t="s">
        <v>17</v>
      </c>
      <c r="O8" s="90" t="s">
        <v>18</v>
      </c>
      <c r="P8" s="90" t="s">
        <v>19</v>
      </c>
      <c r="Q8" s="90" t="s">
        <v>51</v>
      </c>
      <c r="R8" s="90" t="s">
        <v>52</v>
      </c>
      <c r="S8" s="90" t="s">
        <v>20</v>
      </c>
      <c r="T8" s="90" t="s">
        <v>21</v>
      </c>
      <c r="U8" s="4"/>
      <c r="V8" s="17"/>
      <c r="W8" s="17"/>
      <c r="X8" s="17"/>
    </row>
    <row r="9" spans="1:24" s="1" customFormat="1" ht="11.25" customHeight="1" x14ac:dyDescent="0.2">
      <c r="A9" s="91">
        <v>1</v>
      </c>
      <c r="B9" s="195">
        <v>2</v>
      </c>
      <c r="C9" s="196"/>
      <c r="D9" s="92">
        <v>3</v>
      </c>
      <c r="E9" s="92"/>
      <c r="F9" s="93">
        <v>4</v>
      </c>
      <c r="G9" s="92">
        <v>5</v>
      </c>
      <c r="H9" s="92">
        <v>6</v>
      </c>
      <c r="I9" s="92">
        <v>7</v>
      </c>
      <c r="J9" s="92">
        <v>8</v>
      </c>
      <c r="K9" s="92">
        <v>9</v>
      </c>
      <c r="L9" s="92">
        <v>10</v>
      </c>
      <c r="M9" s="92">
        <v>11</v>
      </c>
      <c r="N9" s="92">
        <v>12</v>
      </c>
      <c r="O9" s="92">
        <v>13</v>
      </c>
      <c r="P9" s="92">
        <v>14</v>
      </c>
      <c r="Q9" s="92">
        <v>15</v>
      </c>
      <c r="R9" s="92">
        <v>16</v>
      </c>
      <c r="S9" s="92">
        <v>17</v>
      </c>
      <c r="T9" s="92">
        <v>18</v>
      </c>
      <c r="U9" s="5"/>
      <c r="V9" s="18"/>
      <c r="W9" s="18"/>
      <c r="X9" s="18"/>
    </row>
    <row r="10" spans="1:24" s="1" customFormat="1" ht="11.25" customHeight="1" x14ac:dyDescent="0.2">
      <c r="A10" s="222" t="s">
        <v>81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4"/>
      <c r="U10" s="6"/>
      <c r="V10" s="19"/>
      <c r="W10" s="19"/>
      <c r="X10" s="19"/>
    </row>
    <row r="11" spans="1:24" s="60" customFormat="1" ht="20.25" customHeight="1" x14ac:dyDescent="0.2">
      <c r="A11" s="94">
        <v>54</v>
      </c>
      <c r="B11" s="193" t="s">
        <v>106</v>
      </c>
      <c r="C11" s="194"/>
      <c r="D11" s="95">
        <v>60</v>
      </c>
      <c r="E11" s="95">
        <v>18.16</v>
      </c>
      <c r="F11" s="96">
        <v>4.5999999999999996</v>
      </c>
      <c r="G11" s="96">
        <v>0.2</v>
      </c>
      <c r="H11" s="96">
        <v>5.6</v>
      </c>
      <c r="I11" s="96">
        <v>29</v>
      </c>
      <c r="J11" s="97">
        <v>2.4E-2</v>
      </c>
      <c r="K11" s="96">
        <v>0</v>
      </c>
      <c r="L11" s="98">
        <v>2.4</v>
      </c>
      <c r="M11" s="97">
        <v>0</v>
      </c>
      <c r="N11" s="95">
        <v>0</v>
      </c>
      <c r="O11" s="96">
        <v>21</v>
      </c>
      <c r="P11" s="96">
        <v>20.5</v>
      </c>
      <c r="Q11" s="97">
        <v>0</v>
      </c>
      <c r="R11" s="97">
        <v>0</v>
      </c>
      <c r="S11" s="96">
        <v>6.5</v>
      </c>
      <c r="T11" s="96">
        <v>0.14000000000000001</v>
      </c>
      <c r="U11" s="62"/>
      <c r="V11" s="63"/>
      <c r="W11" s="63"/>
      <c r="X11" s="63"/>
    </row>
    <row r="12" spans="1:24" s="60" customFormat="1" ht="12" customHeight="1" x14ac:dyDescent="0.2">
      <c r="A12" s="91">
        <v>291</v>
      </c>
      <c r="B12" s="193" t="s">
        <v>45</v>
      </c>
      <c r="C12" s="194"/>
      <c r="D12" s="99">
        <v>220</v>
      </c>
      <c r="E12" s="100">
        <v>48.51</v>
      </c>
      <c r="F12" s="100">
        <v>20.492999999999999</v>
      </c>
      <c r="G12" s="100">
        <v>23.95</v>
      </c>
      <c r="H12" s="100">
        <v>43.295999999999999</v>
      </c>
      <c r="I12" s="100">
        <v>470.77</v>
      </c>
      <c r="J12" s="100">
        <v>0.748</v>
      </c>
      <c r="K12" s="100">
        <v>0.72599999999999998</v>
      </c>
      <c r="L12" s="100">
        <v>3.93</v>
      </c>
      <c r="M12" s="100">
        <v>0.42</v>
      </c>
      <c r="N12" s="101">
        <v>0</v>
      </c>
      <c r="O12" s="100">
        <v>40.600999999999999</v>
      </c>
      <c r="P12" s="100">
        <v>276.51</v>
      </c>
      <c r="Q12" s="99">
        <v>0</v>
      </c>
      <c r="R12" s="99">
        <v>0</v>
      </c>
      <c r="S12" s="100">
        <v>59.026000000000003</v>
      </c>
      <c r="T12" s="100">
        <v>2.5409999999999999</v>
      </c>
      <c r="U12" s="58"/>
      <c r="V12" s="59"/>
      <c r="W12" s="59"/>
      <c r="X12" s="59"/>
    </row>
    <row r="13" spans="1:24" s="60" customFormat="1" ht="11.25" customHeight="1" x14ac:dyDescent="0.2">
      <c r="A13" s="102" t="s">
        <v>58</v>
      </c>
      <c r="B13" s="193" t="s">
        <v>47</v>
      </c>
      <c r="C13" s="194"/>
      <c r="D13" s="99">
        <v>30</v>
      </c>
      <c r="E13" s="100">
        <v>2.52</v>
      </c>
      <c r="F13" s="100">
        <f>1.52*D13/30</f>
        <v>1.52</v>
      </c>
      <c r="G13" s="103">
        <f>0.16*D13/30</f>
        <v>0.16</v>
      </c>
      <c r="H13" s="103">
        <f>9.84*D13/30</f>
        <v>9.84</v>
      </c>
      <c r="I13" s="103">
        <f>F13*4+G13*9+H13*4</f>
        <v>46.879999999999995</v>
      </c>
      <c r="J13" s="103">
        <f>0.02*D13/30</f>
        <v>0.02</v>
      </c>
      <c r="K13" s="103">
        <f>0.01*D13/30</f>
        <v>0.01</v>
      </c>
      <c r="L13" s="103">
        <f>0.44*D13/30</f>
        <v>0.44</v>
      </c>
      <c r="M13" s="103">
        <v>0</v>
      </c>
      <c r="N13" s="103">
        <f>0.7*D13/30</f>
        <v>0.7</v>
      </c>
      <c r="O13" s="103">
        <f>4*D13/30</f>
        <v>4</v>
      </c>
      <c r="P13" s="103">
        <f>13*D13/30</f>
        <v>13</v>
      </c>
      <c r="Q13" s="103">
        <f>0.008*D13/30</f>
        <v>8.0000000000000002E-3</v>
      </c>
      <c r="R13" s="103">
        <f>0.001*D13/30</f>
        <v>1E-3</v>
      </c>
      <c r="S13" s="103">
        <v>0</v>
      </c>
      <c r="T13" s="103">
        <f>0.22*D13/30</f>
        <v>0.22</v>
      </c>
      <c r="U13" s="58"/>
      <c r="V13" s="59"/>
      <c r="W13" s="59"/>
      <c r="X13" s="59"/>
    </row>
    <row r="14" spans="1:24" s="60" customFormat="1" ht="12.75" customHeight="1" x14ac:dyDescent="0.2">
      <c r="A14" s="91">
        <v>377</v>
      </c>
      <c r="B14" s="210" t="s">
        <v>41</v>
      </c>
      <c r="C14" s="210"/>
      <c r="D14" s="99">
        <v>200</v>
      </c>
      <c r="E14" s="100">
        <v>3.81</v>
      </c>
      <c r="F14" s="100">
        <v>0.26</v>
      </c>
      <c r="G14" s="100">
        <v>0.06</v>
      </c>
      <c r="H14" s="100">
        <v>15.22</v>
      </c>
      <c r="I14" s="100">
        <f>F14*4+G14*9+H14*4</f>
        <v>62.46</v>
      </c>
      <c r="J14" s="100"/>
      <c r="K14" s="100">
        <v>0.01</v>
      </c>
      <c r="L14" s="100">
        <v>2.9</v>
      </c>
      <c r="M14" s="101">
        <v>0</v>
      </c>
      <c r="N14" s="100">
        <v>0.06</v>
      </c>
      <c r="O14" s="100">
        <v>8.0500000000000007</v>
      </c>
      <c r="P14" s="100">
        <v>9.7799999999999994</v>
      </c>
      <c r="Q14" s="100">
        <v>1.7000000000000001E-2</v>
      </c>
      <c r="R14" s="103">
        <v>0</v>
      </c>
      <c r="S14" s="100">
        <v>5.24</v>
      </c>
      <c r="T14" s="100">
        <v>0.87</v>
      </c>
      <c r="U14" s="58"/>
      <c r="V14" s="59"/>
      <c r="W14" s="59"/>
      <c r="X14" s="59"/>
    </row>
    <row r="15" spans="1:24" s="71" customFormat="1" ht="14.25" customHeight="1" x14ac:dyDescent="0.2">
      <c r="A15" s="104"/>
      <c r="B15" s="177"/>
      <c r="C15" s="178"/>
      <c r="D15" s="105"/>
      <c r="E15" s="106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4" s="44" customFormat="1" ht="11.25" customHeight="1" x14ac:dyDescent="0.2">
      <c r="A16" s="108" t="s">
        <v>82</v>
      </c>
      <c r="B16" s="109"/>
      <c r="C16" s="109"/>
      <c r="D16" s="110">
        <f t="shared" ref="D16:T16" si="0">SUM(D11:D15)</f>
        <v>510</v>
      </c>
      <c r="E16" s="111">
        <f t="shared" si="0"/>
        <v>73</v>
      </c>
      <c r="F16" s="111">
        <f t="shared" si="0"/>
        <v>26.872999999999998</v>
      </c>
      <c r="G16" s="111">
        <f t="shared" si="0"/>
        <v>24.369999999999997</v>
      </c>
      <c r="H16" s="111">
        <f t="shared" si="0"/>
        <v>73.956000000000003</v>
      </c>
      <c r="I16" s="111">
        <f t="shared" si="0"/>
        <v>609.11</v>
      </c>
      <c r="J16" s="111">
        <f t="shared" si="0"/>
        <v>0.79200000000000004</v>
      </c>
      <c r="K16" s="111">
        <f t="shared" si="0"/>
        <v>0.746</v>
      </c>
      <c r="L16" s="111">
        <f t="shared" si="0"/>
        <v>9.67</v>
      </c>
      <c r="M16" s="111">
        <f t="shared" si="0"/>
        <v>0.42</v>
      </c>
      <c r="N16" s="111">
        <f t="shared" si="0"/>
        <v>0.76</v>
      </c>
      <c r="O16" s="111">
        <f t="shared" si="0"/>
        <v>73.650999999999996</v>
      </c>
      <c r="P16" s="111">
        <f t="shared" si="0"/>
        <v>319.78999999999996</v>
      </c>
      <c r="Q16" s="111">
        <f t="shared" si="0"/>
        <v>2.5000000000000001E-2</v>
      </c>
      <c r="R16" s="111">
        <f t="shared" si="0"/>
        <v>1E-3</v>
      </c>
      <c r="S16" s="111">
        <f t="shared" si="0"/>
        <v>70.766000000000005</v>
      </c>
      <c r="T16" s="111">
        <f t="shared" si="0"/>
        <v>3.7710000000000004</v>
      </c>
      <c r="U16" s="23"/>
      <c r="V16" s="45"/>
      <c r="W16" s="45"/>
      <c r="X16" s="45"/>
    </row>
    <row r="17" spans="1:24" s="44" customFormat="1" ht="11.25" customHeight="1" x14ac:dyDescent="0.2">
      <c r="A17" s="206" t="s">
        <v>55</v>
      </c>
      <c r="B17" s="207"/>
      <c r="C17" s="207"/>
      <c r="D17" s="208"/>
      <c r="E17" s="112"/>
      <c r="F17" s="113">
        <f t="shared" ref="F17:T17" si="1">F16/F34</f>
        <v>0.29858888888888885</v>
      </c>
      <c r="G17" s="114">
        <f t="shared" si="1"/>
        <v>0.26489130434782604</v>
      </c>
      <c r="H17" s="114">
        <f t="shared" si="1"/>
        <v>0.19309660574412532</v>
      </c>
      <c r="I17" s="114">
        <f t="shared" si="1"/>
        <v>0.22393750000000001</v>
      </c>
      <c r="J17" s="114">
        <f t="shared" si="1"/>
        <v>0.56571428571428573</v>
      </c>
      <c r="K17" s="114">
        <f t="shared" si="1"/>
        <v>0.46625</v>
      </c>
      <c r="L17" s="114">
        <f t="shared" si="1"/>
        <v>0.13814285714285715</v>
      </c>
      <c r="M17" s="114">
        <f t="shared" si="1"/>
        <v>0.46666666666666662</v>
      </c>
      <c r="N17" s="114">
        <f t="shared" si="1"/>
        <v>6.3333333333333339E-2</v>
      </c>
      <c r="O17" s="115">
        <f t="shared" si="1"/>
        <v>6.1375833333333331E-2</v>
      </c>
      <c r="P17" s="114">
        <f t="shared" si="1"/>
        <v>0.26649166666666663</v>
      </c>
      <c r="Q17" s="114">
        <f t="shared" si="1"/>
        <v>1.7857142857142859E-3</v>
      </c>
      <c r="R17" s="114">
        <f t="shared" si="1"/>
        <v>0.01</v>
      </c>
      <c r="S17" s="114">
        <f t="shared" si="1"/>
        <v>0.23588666666666669</v>
      </c>
      <c r="T17" s="115">
        <f t="shared" si="1"/>
        <v>0.20950000000000002</v>
      </c>
      <c r="U17" s="47"/>
      <c r="V17" s="45"/>
      <c r="W17" s="45"/>
      <c r="X17" s="45"/>
    </row>
    <row r="18" spans="1:24" s="44" customFormat="1" ht="11.25" customHeight="1" x14ac:dyDescent="0.2">
      <c r="A18" s="222" t="s">
        <v>24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4"/>
      <c r="U18" s="6"/>
      <c r="V18" s="19"/>
      <c r="W18" s="19"/>
      <c r="X18" s="19"/>
    </row>
    <row r="19" spans="1:24" s="60" customFormat="1" ht="22.5" customHeight="1" x14ac:dyDescent="0.2">
      <c r="A19" s="91" t="s">
        <v>85</v>
      </c>
      <c r="B19" s="193" t="s">
        <v>111</v>
      </c>
      <c r="C19" s="194"/>
      <c r="D19" s="99">
        <v>100</v>
      </c>
      <c r="E19" s="100">
        <v>10.44</v>
      </c>
      <c r="F19" s="100">
        <f>0.9*D19/60</f>
        <v>1.5</v>
      </c>
      <c r="G19" s="116">
        <f>3.1*D19/60</f>
        <v>5.166666666666667</v>
      </c>
      <c r="H19" s="116">
        <f>5.6*D19/60</f>
        <v>9.3333333333333339</v>
      </c>
      <c r="I19" s="100">
        <f>F19*4+G19*9+H19*4</f>
        <v>89.833333333333343</v>
      </c>
      <c r="J19" s="103">
        <f>0.1*D19/60</f>
        <v>0.16666666666666666</v>
      </c>
      <c r="K19" s="103">
        <f>0.1*D19/60</f>
        <v>0.16666666666666666</v>
      </c>
      <c r="L19" s="100">
        <f>12.3*D19/60</f>
        <v>20.5</v>
      </c>
      <c r="M19" s="103">
        <f>0.02*D19/60</f>
        <v>3.3333333333333333E-2</v>
      </c>
      <c r="N19" s="103">
        <f>0.5*D19/60</f>
        <v>0.83333333333333337</v>
      </c>
      <c r="O19" s="116">
        <f>59.9*D19/60</f>
        <v>99.833333333333329</v>
      </c>
      <c r="P19" s="116">
        <f>31.3*D19/60</f>
        <v>52.166666666666664</v>
      </c>
      <c r="Q19" s="117">
        <f>0.4228*D19/60</f>
        <v>0.70466666666666666</v>
      </c>
      <c r="R19" s="103">
        <f>0.003*D19/60</f>
        <v>5.0000000000000001E-3</v>
      </c>
      <c r="S19" s="116">
        <f>16.3*D19/60</f>
        <v>27.166666666666668</v>
      </c>
      <c r="T19" s="100">
        <f>0.7*D19/60</f>
        <v>1.1666666666666667</v>
      </c>
      <c r="U19" s="58"/>
      <c r="V19" s="59"/>
      <c r="W19" s="59"/>
      <c r="X19" s="59"/>
    </row>
    <row r="20" spans="1:24" s="60" customFormat="1" ht="15" customHeight="1" x14ac:dyDescent="0.2">
      <c r="A20" s="91">
        <v>102</v>
      </c>
      <c r="B20" s="193" t="s">
        <v>68</v>
      </c>
      <c r="C20" s="194"/>
      <c r="D20" s="101">
        <v>250</v>
      </c>
      <c r="E20" s="100">
        <v>10.76</v>
      </c>
      <c r="F20" s="100">
        <v>6.22</v>
      </c>
      <c r="G20" s="100">
        <v>3.99</v>
      </c>
      <c r="H20" s="100">
        <v>21.73</v>
      </c>
      <c r="I20" s="100">
        <v>147.71</v>
      </c>
      <c r="J20" s="100">
        <v>0.27</v>
      </c>
      <c r="K20" s="100">
        <v>0.09</v>
      </c>
      <c r="L20" s="100">
        <v>9</v>
      </c>
      <c r="M20" s="103">
        <v>1E-3</v>
      </c>
      <c r="N20" s="100">
        <v>0.25700000000000001</v>
      </c>
      <c r="O20" s="100">
        <v>54.13</v>
      </c>
      <c r="P20" s="100">
        <v>183.2</v>
      </c>
      <c r="Q20" s="100">
        <v>1.157</v>
      </c>
      <c r="R20" s="103">
        <v>1.2999999999999999E-2</v>
      </c>
      <c r="S20" s="100">
        <v>49.63</v>
      </c>
      <c r="T20" s="100">
        <v>1.03</v>
      </c>
      <c r="U20" s="58"/>
      <c r="V20" s="59"/>
      <c r="W20" s="59"/>
      <c r="X20" s="59"/>
    </row>
    <row r="21" spans="1:24" s="60" customFormat="1" x14ac:dyDescent="0.2">
      <c r="A21" s="91">
        <v>266</v>
      </c>
      <c r="B21" s="193" t="s">
        <v>90</v>
      </c>
      <c r="C21" s="194"/>
      <c r="D21" s="99">
        <v>90</v>
      </c>
      <c r="E21" s="100">
        <v>49.14</v>
      </c>
      <c r="F21" s="100">
        <v>16.684000000000001</v>
      </c>
      <c r="G21" s="100">
        <v>23.276</v>
      </c>
      <c r="H21" s="100">
        <v>4.2859999999999996</v>
      </c>
      <c r="I21" s="100">
        <v>293</v>
      </c>
      <c r="J21" s="100">
        <v>0.20300000000000001</v>
      </c>
      <c r="K21" s="100">
        <v>0.23599999999999999</v>
      </c>
      <c r="L21" s="100">
        <v>0.48</v>
      </c>
      <c r="M21" s="100">
        <v>4.4999999999999998E-2</v>
      </c>
      <c r="N21" s="101">
        <v>6.8000000000000005E-2</v>
      </c>
      <c r="O21" s="116">
        <v>54.506</v>
      </c>
      <c r="P21" s="116">
        <v>200.149</v>
      </c>
      <c r="Q21" s="100">
        <v>2.56</v>
      </c>
      <c r="R21" s="103">
        <v>2.56</v>
      </c>
      <c r="S21" s="116">
        <v>27.506</v>
      </c>
      <c r="T21" s="100">
        <v>2.1709999999999998</v>
      </c>
      <c r="U21" s="58"/>
      <c r="V21" s="59"/>
      <c r="W21" s="59"/>
      <c r="X21" s="59"/>
    </row>
    <row r="22" spans="1:24" s="60" customFormat="1" ht="12.75" customHeight="1" x14ac:dyDescent="0.2">
      <c r="A22" s="102">
        <v>171</v>
      </c>
      <c r="B22" s="193" t="s">
        <v>22</v>
      </c>
      <c r="C22" s="194"/>
      <c r="D22" s="99">
        <v>180</v>
      </c>
      <c r="E22" s="100">
        <v>14.16</v>
      </c>
      <c r="F22" s="100">
        <f>6.57*D22/150</f>
        <v>7.8840000000000012</v>
      </c>
      <c r="G22" s="100">
        <f>4.19*D22/150</f>
        <v>5.0280000000000005</v>
      </c>
      <c r="H22" s="100">
        <f>32.32*D22/150</f>
        <v>38.783999999999999</v>
      </c>
      <c r="I22" s="100">
        <f>F22*4+G22*9+H22*4</f>
        <v>231.92400000000001</v>
      </c>
      <c r="J22" s="103">
        <f>0.06*D22/150</f>
        <v>7.1999999999999995E-2</v>
      </c>
      <c r="K22" s="103">
        <f>0.03*D22/150</f>
        <v>3.5999999999999997E-2</v>
      </c>
      <c r="L22" s="101">
        <v>0</v>
      </c>
      <c r="M22" s="103">
        <f>0.03*D22/150</f>
        <v>3.5999999999999997E-2</v>
      </c>
      <c r="N22" s="101">
        <f>2.55*D22/150</f>
        <v>3.0599999999999996</v>
      </c>
      <c r="O22" s="100">
        <f>18.12*D22/150</f>
        <v>21.744000000000003</v>
      </c>
      <c r="P22" s="100">
        <f>157.03*D22/150</f>
        <v>188.43600000000001</v>
      </c>
      <c r="Q22" s="103">
        <v>1.0680000000000001</v>
      </c>
      <c r="R22" s="103">
        <f>0.00135*D22/150</f>
        <v>1.6200000000000001E-3</v>
      </c>
      <c r="S22" s="100">
        <f>104.45*D22/150</f>
        <v>125.34</v>
      </c>
      <c r="T22" s="100">
        <f>3.55*D22/150</f>
        <v>4.26</v>
      </c>
      <c r="U22" s="58"/>
      <c r="V22" s="59"/>
      <c r="W22" s="59"/>
      <c r="X22" s="59"/>
    </row>
    <row r="23" spans="1:24" s="60" customFormat="1" x14ac:dyDescent="0.2">
      <c r="A23" s="104">
        <v>345</v>
      </c>
      <c r="B23" s="197" t="s">
        <v>44</v>
      </c>
      <c r="C23" s="197"/>
      <c r="D23" s="118">
        <v>200</v>
      </c>
      <c r="E23" s="119">
        <v>4.9000000000000004</v>
      </c>
      <c r="F23" s="119">
        <v>0.06</v>
      </c>
      <c r="G23" s="119">
        <v>0.02</v>
      </c>
      <c r="H23" s="119">
        <v>20.73</v>
      </c>
      <c r="I23" s="119">
        <v>83.34</v>
      </c>
      <c r="J23" s="119">
        <v>0</v>
      </c>
      <c r="K23" s="119">
        <v>0</v>
      </c>
      <c r="L23" s="119">
        <v>2.5</v>
      </c>
      <c r="M23" s="119">
        <v>4.0000000000000001E-3</v>
      </c>
      <c r="N23" s="119">
        <v>0.2</v>
      </c>
      <c r="O23" s="119">
        <v>4</v>
      </c>
      <c r="P23" s="119">
        <v>3.3</v>
      </c>
      <c r="Q23" s="119">
        <v>0.08</v>
      </c>
      <c r="R23" s="119">
        <v>1E-3</v>
      </c>
      <c r="S23" s="119">
        <v>1.7</v>
      </c>
      <c r="T23" s="119">
        <v>0.15</v>
      </c>
      <c r="U23" s="58"/>
      <c r="V23" s="59"/>
      <c r="W23" s="59"/>
      <c r="X23" s="59"/>
    </row>
    <row r="24" spans="1:24" s="60" customFormat="1" ht="11.25" customHeight="1" x14ac:dyDescent="0.2">
      <c r="A24" s="120" t="s">
        <v>58</v>
      </c>
      <c r="B24" s="193" t="s">
        <v>42</v>
      </c>
      <c r="C24" s="194"/>
      <c r="D24" s="99">
        <v>40</v>
      </c>
      <c r="E24" s="100">
        <v>2.08</v>
      </c>
      <c r="F24" s="100">
        <f>2.64*D24/40</f>
        <v>2.64</v>
      </c>
      <c r="G24" s="100">
        <f>0.48*D24/40</f>
        <v>0.48</v>
      </c>
      <c r="H24" s="100">
        <f>13.68*D24/40</f>
        <v>13.680000000000001</v>
      </c>
      <c r="I24" s="116">
        <f>F24*4+G24*9+H24*4</f>
        <v>69.600000000000009</v>
      </c>
      <c r="J24" s="101">
        <f>0.08*D24/40</f>
        <v>0.08</v>
      </c>
      <c r="K24" s="100">
        <f>0.04*D24/40</f>
        <v>0.04</v>
      </c>
      <c r="L24" s="99">
        <v>0</v>
      </c>
      <c r="M24" s="99">
        <v>0</v>
      </c>
      <c r="N24" s="100">
        <f>2.4*D24/40</f>
        <v>2.4</v>
      </c>
      <c r="O24" s="100">
        <f>14*D24/40</f>
        <v>14</v>
      </c>
      <c r="P24" s="100">
        <f>63.2*D24/40</f>
        <v>63.2</v>
      </c>
      <c r="Q24" s="100">
        <f>1.2*D24/40</f>
        <v>1.2</v>
      </c>
      <c r="R24" s="103">
        <f>0.001*D24/40</f>
        <v>1E-3</v>
      </c>
      <c r="S24" s="100">
        <f>9.4*D24/40</f>
        <v>9.4</v>
      </c>
      <c r="T24" s="101">
        <f>0.78*D24/40</f>
        <v>0.78</v>
      </c>
      <c r="U24" s="66"/>
      <c r="V24" s="67"/>
      <c r="W24" s="67"/>
      <c r="X24" s="67"/>
    </row>
    <row r="25" spans="1:24" s="60" customFormat="1" ht="11.25" customHeight="1" x14ac:dyDescent="0.2">
      <c r="A25" s="102" t="s">
        <v>58</v>
      </c>
      <c r="B25" s="193" t="s">
        <v>47</v>
      </c>
      <c r="C25" s="194"/>
      <c r="D25" s="99">
        <v>30</v>
      </c>
      <c r="E25" s="100">
        <v>2.52</v>
      </c>
      <c r="F25" s="100">
        <f>1.52*D25/30</f>
        <v>1.52</v>
      </c>
      <c r="G25" s="103">
        <f>0.16*D25/30</f>
        <v>0.16</v>
      </c>
      <c r="H25" s="103">
        <f>9.84*D25/30</f>
        <v>9.84</v>
      </c>
      <c r="I25" s="103">
        <f>F25*4+G25*9+H25*4</f>
        <v>46.879999999999995</v>
      </c>
      <c r="J25" s="103">
        <f>0.02*D25/30</f>
        <v>0.02</v>
      </c>
      <c r="K25" s="103">
        <f>0.01*D25/30</f>
        <v>0.01</v>
      </c>
      <c r="L25" s="103">
        <f>0.44*D25/30</f>
        <v>0.44</v>
      </c>
      <c r="M25" s="103">
        <v>0</v>
      </c>
      <c r="N25" s="103">
        <f>0.7*D25/30</f>
        <v>0.7</v>
      </c>
      <c r="O25" s="103">
        <f>4*D25/30</f>
        <v>4</v>
      </c>
      <c r="P25" s="103">
        <f>13*D25/30</f>
        <v>13</v>
      </c>
      <c r="Q25" s="103">
        <f>0.008*D25/30</f>
        <v>8.0000000000000002E-3</v>
      </c>
      <c r="R25" s="103">
        <f>0.001*D25/30</f>
        <v>1E-3</v>
      </c>
      <c r="S25" s="103">
        <v>0</v>
      </c>
      <c r="T25" s="103">
        <f>0.22*D25/30</f>
        <v>0.22</v>
      </c>
      <c r="U25" s="72"/>
      <c r="V25" s="73"/>
      <c r="W25" s="73"/>
      <c r="X25" s="73"/>
    </row>
    <row r="26" spans="1:24" s="44" customFormat="1" ht="11.25" customHeight="1" x14ac:dyDescent="0.2">
      <c r="A26" s="108" t="s">
        <v>25</v>
      </c>
      <c r="B26" s="109"/>
      <c r="C26" s="109"/>
      <c r="D26" s="110">
        <f t="shared" ref="D26:I26" si="2">SUM(D19:D25)</f>
        <v>890</v>
      </c>
      <c r="E26" s="111">
        <f t="shared" si="2"/>
        <v>94</v>
      </c>
      <c r="F26" s="121">
        <f t="shared" si="2"/>
        <v>36.50800000000001</v>
      </c>
      <c r="G26" s="122">
        <f t="shared" si="2"/>
        <v>38.120666666666658</v>
      </c>
      <c r="H26" s="123">
        <f t="shared" si="2"/>
        <v>118.38333333333334</v>
      </c>
      <c r="I26" s="122">
        <f t="shared" si="2"/>
        <v>962.28733333333332</v>
      </c>
      <c r="J26" s="122">
        <f t="shared" ref="J26:T26" si="3">SUM(J19:J25)</f>
        <v>0.81166666666666654</v>
      </c>
      <c r="K26" s="122">
        <f t="shared" si="3"/>
        <v>0.57866666666666666</v>
      </c>
      <c r="L26" s="122">
        <f t="shared" si="3"/>
        <v>32.92</v>
      </c>
      <c r="M26" s="121">
        <f t="shared" si="3"/>
        <v>0.11933333333333335</v>
      </c>
      <c r="N26" s="121">
        <f t="shared" si="3"/>
        <v>7.5183333333333335</v>
      </c>
      <c r="O26" s="123">
        <f t="shared" si="3"/>
        <v>252.21333333333334</v>
      </c>
      <c r="P26" s="122">
        <f t="shared" si="3"/>
        <v>703.45166666666671</v>
      </c>
      <c r="Q26" s="124">
        <f t="shared" si="3"/>
        <v>6.7776666666666667</v>
      </c>
      <c r="R26" s="124">
        <f t="shared" si="3"/>
        <v>2.5826199999999995</v>
      </c>
      <c r="S26" s="122">
        <f t="shared" si="3"/>
        <v>240.74266666666668</v>
      </c>
      <c r="T26" s="121">
        <f t="shared" si="3"/>
        <v>9.7776666666666667</v>
      </c>
      <c r="U26" s="23"/>
      <c r="V26" s="45"/>
      <c r="W26" s="45"/>
      <c r="X26" s="45"/>
    </row>
    <row r="27" spans="1:24" s="44" customFormat="1" ht="11.25" customHeight="1" x14ac:dyDescent="0.2">
      <c r="A27" s="206" t="s">
        <v>55</v>
      </c>
      <c r="B27" s="207"/>
      <c r="C27" s="207"/>
      <c r="D27" s="208"/>
      <c r="E27" s="112"/>
      <c r="F27" s="113">
        <f t="shared" ref="F27:T27" si="4">F26/F34</f>
        <v>0.40564444444444453</v>
      </c>
      <c r="G27" s="114">
        <f t="shared" si="4"/>
        <v>0.41435507246376801</v>
      </c>
      <c r="H27" s="114">
        <f t="shared" si="4"/>
        <v>0.30909486510008705</v>
      </c>
      <c r="I27" s="114">
        <f t="shared" si="4"/>
        <v>0.35378210784313724</v>
      </c>
      <c r="J27" s="114">
        <f t="shared" si="4"/>
        <v>0.5797619047619047</v>
      </c>
      <c r="K27" s="114">
        <f t="shared" si="4"/>
        <v>0.36166666666666664</v>
      </c>
      <c r="L27" s="114">
        <f t="shared" si="4"/>
        <v>0.47028571428571431</v>
      </c>
      <c r="M27" s="114">
        <f t="shared" si="4"/>
        <v>0.1325925925925926</v>
      </c>
      <c r="N27" s="114">
        <f t="shared" si="4"/>
        <v>0.62652777777777779</v>
      </c>
      <c r="O27" s="115">
        <f t="shared" si="4"/>
        <v>0.21017777777777777</v>
      </c>
      <c r="P27" s="114">
        <f t="shared" si="4"/>
        <v>0.58620972222222223</v>
      </c>
      <c r="Q27" s="114">
        <f t="shared" si="4"/>
        <v>0.48411904761904762</v>
      </c>
      <c r="R27" s="114">
        <f t="shared" si="4"/>
        <v>25.826199999999993</v>
      </c>
      <c r="S27" s="114">
        <f t="shared" si="4"/>
        <v>0.80247555555555561</v>
      </c>
      <c r="T27" s="115">
        <f t="shared" si="4"/>
        <v>0.54320370370370374</v>
      </c>
      <c r="U27" s="47"/>
      <c r="V27" s="45"/>
      <c r="W27" s="45"/>
      <c r="X27" s="45"/>
    </row>
    <row r="28" spans="1:24" s="44" customFormat="1" ht="15.75" customHeight="1" x14ac:dyDescent="0.2">
      <c r="A28" s="222" t="s">
        <v>26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4"/>
      <c r="U28" s="6"/>
      <c r="V28" s="19"/>
      <c r="W28" s="19"/>
      <c r="X28" s="19"/>
    </row>
    <row r="29" spans="1:24" s="51" customFormat="1" ht="15.75" customHeight="1" x14ac:dyDescent="0.2">
      <c r="A29" s="125"/>
      <c r="B29" s="205"/>
      <c r="C29" s="205"/>
      <c r="D29" s="126"/>
      <c r="E29" s="127"/>
      <c r="F29" s="127"/>
      <c r="G29" s="127"/>
      <c r="H29" s="127"/>
      <c r="I29" s="127"/>
      <c r="J29" s="128"/>
      <c r="K29" s="127"/>
      <c r="L29" s="127"/>
      <c r="M29" s="128"/>
      <c r="N29" s="129"/>
      <c r="O29" s="130"/>
      <c r="P29" s="127"/>
      <c r="Q29" s="127"/>
      <c r="R29" s="128"/>
      <c r="S29" s="127"/>
      <c r="T29" s="127"/>
    </row>
    <row r="30" spans="1:24" s="42" customFormat="1" ht="15.75" customHeight="1" x14ac:dyDescent="0.2">
      <c r="A30" s="131"/>
      <c r="B30" s="197"/>
      <c r="C30" s="197"/>
      <c r="D30" s="11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</row>
    <row r="31" spans="1:24" s="1" customFormat="1" ht="15.75" customHeight="1" x14ac:dyDescent="0.2">
      <c r="A31" s="108" t="s">
        <v>27</v>
      </c>
      <c r="B31" s="109"/>
      <c r="C31" s="109"/>
      <c r="D31" s="110">
        <f t="shared" ref="D31:T31" si="5">SUM(D29:D30)</f>
        <v>0</v>
      </c>
      <c r="E31" s="111">
        <f>94-E26</f>
        <v>0</v>
      </c>
      <c r="F31" s="111">
        <f t="shared" si="5"/>
        <v>0</v>
      </c>
      <c r="G31" s="111">
        <f t="shared" si="5"/>
        <v>0</v>
      </c>
      <c r="H31" s="111">
        <f t="shared" si="5"/>
        <v>0</v>
      </c>
      <c r="I31" s="111">
        <f t="shared" si="5"/>
        <v>0</v>
      </c>
      <c r="J31" s="111">
        <f t="shared" si="5"/>
        <v>0</v>
      </c>
      <c r="K31" s="111">
        <f t="shared" si="5"/>
        <v>0</v>
      </c>
      <c r="L31" s="111">
        <f t="shared" si="5"/>
        <v>0</v>
      </c>
      <c r="M31" s="111">
        <f t="shared" si="5"/>
        <v>0</v>
      </c>
      <c r="N31" s="111">
        <f t="shared" si="5"/>
        <v>0</v>
      </c>
      <c r="O31" s="111">
        <f t="shared" si="5"/>
        <v>0</v>
      </c>
      <c r="P31" s="111">
        <f t="shared" si="5"/>
        <v>0</v>
      </c>
      <c r="Q31" s="111">
        <f t="shared" si="5"/>
        <v>0</v>
      </c>
      <c r="R31" s="111">
        <f t="shared" si="5"/>
        <v>0</v>
      </c>
      <c r="S31" s="111">
        <f t="shared" si="5"/>
        <v>0</v>
      </c>
      <c r="T31" s="111">
        <f t="shared" si="5"/>
        <v>0</v>
      </c>
      <c r="U31" s="23"/>
      <c r="V31" s="45"/>
      <c r="W31" s="45"/>
      <c r="X31" s="45"/>
    </row>
    <row r="32" spans="1:24" s="1" customFormat="1" ht="11.25" customHeight="1" x14ac:dyDescent="0.2">
      <c r="A32" s="206" t="s">
        <v>55</v>
      </c>
      <c r="B32" s="207"/>
      <c r="C32" s="207"/>
      <c r="D32" s="208"/>
      <c r="E32" s="132"/>
      <c r="F32" s="114">
        <f>F31/F34</f>
        <v>0</v>
      </c>
      <c r="G32" s="114">
        <f t="shared" ref="G32:T32" si="6">G31/G34</f>
        <v>0</v>
      </c>
      <c r="H32" s="114">
        <f t="shared" si="6"/>
        <v>0</v>
      </c>
      <c r="I32" s="114">
        <f t="shared" si="6"/>
        <v>0</v>
      </c>
      <c r="J32" s="114">
        <f t="shared" si="6"/>
        <v>0</v>
      </c>
      <c r="K32" s="114">
        <f t="shared" si="6"/>
        <v>0</v>
      </c>
      <c r="L32" s="114">
        <f t="shared" si="6"/>
        <v>0</v>
      </c>
      <c r="M32" s="114">
        <f t="shared" si="6"/>
        <v>0</v>
      </c>
      <c r="N32" s="114">
        <f t="shared" si="6"/>
        <v>0</v>
      </c>
      <c r="O32" s="114">
        <f t="shared" si="6"/>
        <v>0</v>
      </c>
      <c r="P32" s="114">
        <f t="shared" si="6"/>
        <v>0</v>
      </c>
      <c r="Q32" s="114">
        <f t="shared" si="6"/>
        <v>0</v>
      </c>
      <c r="R32" s="114">
        <f t="shared" si="6"/>
        <v>0</v>
      </c>
      <c r="S32" s="114">
        <f t="shared" si="6"/>
        <v>0</v>
      </c>
      <c r="T32" s="115">
        <f t="shared" si="6"/>
        <v>0</v>
      </c>
      <c r="U32" s="47"/>
      <c r="V32" s="45"/>
      <c r="W32" s="45"/>
      <c r="X32" s="45"/>
    </row>
    <row r="33" spans="1:25" s="1" customFormat="1" ht="11.25" customHeight="1" x14ac:dyDescent="0.2">
      <c r="A33" s="108" t="s">
        <v>54</v>
      </c>
      <c r="B33" s="109"/>
      <c r="C33" s="109"/>
      <c r="D33" s="133">
        <f>D26+D16</f>
        <v>1400</v>
      </c>
      <c r="E33" s="134">
        <f>E26+E16</f>
        <v>167</v>
      </c>
      <c r="F33" s="121">
        <f t="shared" ref="F33:T33" si="7">SUM(F16,F26,F31)</f>
        <v>63.381000000000007</v>
      </c>
      <c r="G33" s="122">
        <f t="shared" si="7"/>
        <v>62.490666666666655</v>
      </c>
      <c r="H33" s="122">
        <f t="shared" si="7"/>
        <v>192.33933333333334</v>
      </c>
      <c r="I33" s="122">
        <f t="shared" si="7"/>
        <v>1571.3973333333333</v>
      </c>
      <c r="J33" s="121">
        <f t="shared" si="7"/>
        <v>1.6036666666666666</v>
      </c>
      <c r="K33" s="121">
        <f t="shared" si="7"/>
        <v>1.3246666666666667</v>
      </c>
      <c r="L33" s="122">
        <f t="shared" si="7"/>
        <v>42.59</v>
      </c>
      <c r="M33" s="121">
        <f t="shared" si="7"/>
        <v>0.53933333333333333</v>
      </c>
      <c r="N33" s="121">
        <f t="shared" si="7"/>
        <v>8.2783333333333342</v>
      </c>
      <c r="O33" s="122">
        <f t="shared" si="7"/>
        <v>325.86433333333332</v>
      </c>
      <c r="P33" s="122">
        <f t="shared" si="7"/>
        <v>1023.2416666666667</v>
      </c>
      <c r="Q33" s="121">
        <f t="shared" si="7"/>
        <v>6.8026666666666671</v>
      </c>
      <c r="R33" s="124">
        <f t="shared" si="7"/>
        <v>2.5836199999999994</v>
      </c>
      <c r="S33" s="121">
        <f t="shared" si="7"/>
        <v>311.50866666666667</v>
      </c>
      <c r="T33" s="121">
        <f t="shared" si="7"/>
        <v>13.548666666666668</v>
      </c>
      <c r="U33" s="25"/>
      <c r="V33" s="45"/>
      <c r="W33" s="45"/>
      <c r="X33" s="45"/>
    </row>
    <row r="34" spans="1:25" s="1" customFormat="1" ht="11.25" customHeight="1" x14ac:dyDescent="0.2">
      <c r="A34" s="186" t="s">
        <v>56</v>
      </c>
      <c r="B34" s="187"/>
      <c r="C34" s="187"/>
      <c r="D34" s="188"/>
      <c r="E34" s="135"/>
      <c r="F34" s="100">
        <v>90</v>
      </c>
      <c r="G34" s="116">
        <v>92</v>
      </c>
      <c r="H34" s="116">
        <v>383</v>
      </c>
      <c r="I34" s="116">
        <v>2720</v>
      </c>
      <c r="J34" s="100">
        <v>1.4</v>
      </c>
      <c r="K34" s="100">
        <v>1.6</v>
      </c>
      <c r="L34" s="99">
        <v>70</v>
      </c>
      <c r="M34" s="100">
        <v>0.9</v>
      </c>
      <c r="N34" s="99">
        <v>12</v>
      </c>
      <c r="O34" s="99">
        <v>1200</v>
      </c>
      <c r="P34" s="99">
        <v>1200</v>
      </c>
      <c r="Q34" s="99">
        <v>14</v>
      </c>
      <c r="R34" s="116">
        <v>0.1</v>
      </c>
      <c r="S34" s="99">
        <v>300</v>
      </c>
      <c r="T34" s="100">
        <v>18</v>
      </c>
      <c r="U34" s="48"/>
      <c r="V34" s="49"/>
      <c r="W34" s="49"/>
      <c r="X34" s="49"/>
    </row>
    <row r="35" spans="1:25" s="1" customFormat="1" ht="11.25" customHeight="1" x14ac:dyDescent="0.2">
      <c r="A35" s="206" t="s">
        <v>55</v>
      </c>
      <c r="B35" s="207"/>
      <c r="C35" s="207"/>
      <c r="D35" s="208"/>
      <c r="E35" s="132"/>
      <c r="F35" s="114">
        <f t="shared" ref="F35:T35" si="8">F33/F34</f>
        <v>0.70423333333333338</v>
      </c>
      <c r="G35" s="115">
        <f t="shared" si="8"/>
        <v>0.67924637681159405</v>
      </c>
      <c r="H35" s="115">
        <f t="shared" si="8"/>
        <v>0.50219147084421234</v>
      </c>
      <c r="I35" s="115">
        <f t="shared" si="8"/>
        <v>0.57771960784313725</v>
      </c>
      <c r="J35" s="115">
        <f t="shared" si="8"/>
        <v>1.1454761904761905</v>
      </c>
      <c r="K35" s="115">
        <f t="shared" si="8"/>
        <v>0.82791666666666663</v>
      </c>
      <c r="L35" s="115">
        <f t="shared" si="8"/>
        <v>0.60842857142857143</v>
      </c>
      <c r="M35" s="136">
        <f t="shared" si="8"/>
        <v>0.59925925925925927</v>
      </c>
      <c r="N35" s="136">
        <f t="shared" si="8"/>
        <v>0.68986111111111115</v>
      </c>
      <c r="O35" s="115">
        <f t="shared" si="8"/>
        <v>0.27155361111111109</v>
      </c>
      <c r="P35" s="115">
        <f t="shared" si="8"/>
        <v>0.85270138888888891</v>
      </c>
      <c r="Q35" s="115">
        <f t="shared" si="8"/>
        <v>0.48590476190476195</v>
      </c>
      <c r="R35" s="136">
        <f t="shared" si="8"/>
        <v>25.836199999999991</v>
      </c>
      <c r="S35" s="115">
        <f t="shared" si="8"/>
        <v>1.0383622222222222</v>
      </c>
      <c r="T35" s="136">
        <f t="shared" si="8"/>
        <v>0.75270370370370376</v>
      </c>
      <c r="U35" s="30"/>
      <c r="V35" s="31"/>
      <c r="W35" s="31"/>
      <c r="X35" s="31"/>
    </row>
    <row r="36" spans="1:25" s="1" customFormat="1" ht="11.25" customHeight="1" x14ac:dyDescent="0.2">
      <c r="A36" s="85"/>
      <c r="B36" s="85"/>
      <c r="C36" s="137"/>
      <c r="D36" s="137"/>
      <c r="E36" s="137"/>
      <c r="F36" s="80"/>
      <c r="G36" s="81"/>
      <c r="H36" s="79"/>
      <c r="I36" s="79"/>
      <c r="J36" s="81"/>
      <c r="K36" s="81"/>
      <c r="L36" s="81"/>
      <c r="M36" s="213" t="s">
        <v>57</v>
      </c>
      <c r="N36" s="213"/>
      <c r="O36" s="213"/>
      <c r="P36" s="213"/>
      <c r="Q36" s="213"/>
      <c r="R36" s="213"/>
      <c r="S36" s="213"/>
      <c r="T36" s="213"/>
      <c r="U36" s="7"/>
      <c r="V36" s="14"/>
      <c r="W36" s="14"/>
      <c r="X36" s="14"/>
    </row>
    <row r="37" spans="1:25" s="1" customFormat="1" ht="11.25" customHeight="1" x14ac:dyDescent="0.2">
      <c r="A37" s="209" t="s">
        <v>28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8"/>
      <c r="V37" s="20"/>
      <c r="W37" s="20"/>
      <c r="X37" s="20"/>
      <c r="Y37" s="32"/>
    </row>
    <row r="38" spans="1:25" s="1" customFormat="1" ht="11.25" customHeight="1" x14ac:dyDescent="0.2">
      <c r="A38" s="84" t="s">
        <v>48</v>
      </c>
      <c r="B38" s="85"/>
      <c r="C38" s="85"/>
      <c r="D38" s="79"/>
      <c r="E38" s="79"/>
      <c r="F38" s="82"/>
      <c r="G38" s="181" t="s">
        <v>29</v>
      </c>
      <c r="H38" s="181"/>
      <c r="I38" s="181"/>
      <c r="J38" s="81"/>
      <c r="K38" s="81"/>
      <c r="L38" s="199" t="s">
        <v>1</v>
      </c>
      <c r="M38" s="199"/>
      <c r="N38" s="211" t="str">
        <f>N5</f>
        <v>осенне-зимний</v>
      </c>
      <c r="O38" s="211"/>
      <c r="P38" s="211"/>
      <c r="Q38" s="211"/>
      <c r="R38" s="81"/>
      <c r="S38" s="81"/>
      <c r="T38" s="81"/>
      <c r="U38" s="9"/>
      <c r="V38" s="15"/>
      <c r="W38" s="15"/>
      <c r="X38" s="15"/>
    </row>
    <row r="39" spans="1:25" s="1" customFormat="1" ht="11.25" customHeight="1" x14ac:dyDescent="0.2">
      <c r="A39" s="85"/>
      <c r="B39" s="85"/>
      <c r="C39" s="85"/>
      <c r="D39" s="199" t="s">
        <v>2</v>
      </c>
      <c r="E39" s="199"/>
      <c r="F39" s="199"/>
      <c r="G39" s="86">
        <v>1</v>
      </c>
      <c r="H39" s="81"/>
      <c r="I39" s="79"/>
      <c r="J39" s="79"/>
      <c r="K39" s="79"/>
      <c r="L39" s="199" t="s">
        <v>3</v>
      </c>
      <c r="M39" s="199"/>
      <c r="N39" s="181" t="str">
        <f>N6</f>
        <v>с 7-11 лет;12 и старше</v>
      </c>
      <c r="O39" s="181"/>
      <c r="P39" s="181"/>
      <c r="Q39" s="181"/>
      <c r="R39" s="181"/>
      <c r="S39" s="181"/>
      <c r="T39" s="181"/>
      <c r="U39" s="10"/>
      <c r="V39" s="16"/>
      <c r="W39" s="16"/>
      <c r="X39" s="16"/>
    </row>
    <row r="40" spans="1:25" s="1" customFormat="1" ht="21.75" customHeight="1" x14ac:dyDescent="0.2">
      <c r="A40" s="201" t="s">
        <v>4</v>
      </c>
      <c r="B40" s="182" t="s">
        <v>5</v>
      </c>
      <c r="C40" s="183"/>
      <c r="D40" s="201" t="s">
        <v>6</v>
      </c>
      <c r="E40" s="87"/>
      <c r="F40" s="189" t="s">
        <v>7</v>
      </c>
      <c r="G40" s="190"/>
      <c r="H40" s="191"/>
      <c r="I40" s="201" t="s">
        <v>8</v>
      </c>
      <c r="J40" s="189" t="s">
        <v>9</v>
      </c>
      <c r="K40" s="190"/>
      <c r="L40" s="190"/>
      <c r="M40" s="190"/>
      <c r="N40" s="191"/>
      <c r="O40" s="189" t="s">
        <v>10</v>
      </c>
      <c r="P40" s="190"/>
      <c r="Q40" s="190"/>
      <c r="R40" s="190"/>
      <c r="S40" s="190"/>
      <c r="T40" s="191"/>
      <c r="U40" s="4"/>
      <c r="V40" s="17"/>
      <c r="W40" s="17"/>
      <c r="X40" s="17"/>
    </row>
    <row r="41" spans="1:25" s="1" customFormat="1" ht="21" customHeight="1" x14ac:dyDescent="0.2">
      <c r="A41" s="202"/>
      <c r="B41" s="184"/>
      <c r="C41" s="185"/>
      <c r="D41" s="202"/>
      <c r="E41" s="88"/>
      <c r="F41" s="89" t="s">
        <v>11</v>
      </c>
      <c r="G41" s="90" t="s">
        <v>12</v>
      </c>
      <c r="H41" s="90" t="s">
        <v>13</v>
      </c>
      <c r="I41" s="202"/>
      <c r="J41" s="90" t="s">
        <v>14</v>
      </c>
      <c r="K41" s="90" t="s">
        <v>50</v>
      </c>
      <c r="L41" s="90" t="s">
        <v>15</v>
      </c>
      <c r="M41" s="90" t="s">
        <v>16</v>
      </c>
      <c r="N41" s="90" t="s">
        <v>17</v>
      </c>
      <c r="O41" s="90" t="s">
        <v>18</v>
      </c>
      <c r="P41" s="90" t="s">
        <v>19</v>
      </c>
      <c r="Q41" s="90" t="s">
        <v>51</v>
      </c>
      <c r="R41" s="90" t="s">
        <v>52</v>
      </c>
      <c r="S41" s="90" t="s">
        <v>20</v>
      </c>
      <c r="T41" s="90" t="s">
        <v>21</v>
      </c>
      <c r="U41" s="4"/>
      <c r="V41" s="17"/>
      <c r="W41" s="17"/>
      <c r="X41" s="17"/>
    </row>
    <row r="42" spans="1:25" s="1" customFormat="1" ht="11.25" customHeight="1" x14ac:dyDescent="0.2">
      <c r="A42" s="91">
        <v>1</v>
      </c>
      <c r="B42" s="195">
        <v>2</v>
      </c>
      <c r="C42" s="196"/>
      <c r="D42" s="92">
        <v>3</v>
      </c>
      <c r="E42" s="92"/>
      <c r="F42" s="93">
        <v>4</v>
      </c>
      <c r="G42" s="92">
        <v>5</v>
      </c>
      <c r="H42" s="92">
        <v>6</v>
      </c>
      <c r="I42" s="92">
        <v>7</v>
      </c>
      <c r="J42" s="92">
        <v>8</v>
      </c>
      <c r="K42" s="92">
        <v>9</v>
      </c>
      <c r="L42" s="92">
        <v>10</v>
      </c>
      <c r="M42" s="92">
        <v>11</v>
      </c>
      <c r="N42" s="92">
        <v>12</v>
      </c>
      <c r="O42" s="92">
        <v>13</v>
      </c>
      <c r="P42" s="92">
        <v>14</v>
      </c>
      <c r="Q42" s="92">
        <v>15</v>
      </c>
      <c r="R42" s="92">
        <v>16</v>
      </c>
      <c r="S42" s="92">
        <v>17</v>
      </c>
      <c r="T42" s="92">
        <v>18</v>
      </c>
      <c r="U42" s="5"/>
      <c r="V42" s="18"/>
      <c r="W42" s="18"/>
      <c r="X42" s="18"/>
    </row>
    <row r="43" spans="1:25" s="1" customFormat="1" ht="11.25" customHeight="1" x14ac:dyDescent="0.2">
      <c r="A43" s="230" t="str">
        <f>A107</f>
        <v xml:space="preserve">Завтрак 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2"/>
      <c r="U43" s="6"/>
      <c r="V43" s="19"/>
      <c r="W43" s="19"/>
      <c r="X43" s="19"/>
    </row>
    <row r="44" spans="1:25" s="60" customFormat="1" ht="20.25" customHeight="1" x14ac:dyDescent="0.2">
      <c r="A44" s="138">
        <v>86</v>
      </c>
      <c r="B44" s="228" t="s">
        <v>88</v>
      </c>
      <c r="C44" s="229"/>
      <c r="D44" s="126">
        <v>35</v>
      </c>
      <c r="E44" s="127">
        <v>6.53</v>
      </c>
      <c r="F44" s="127">
        <v>1.36</v>
      </c>
      <c r="G44" s="127">
        <v>1.75</v>
      </c>
      <c r="H44" s="127">
        <v>12.02</v>
      </c>
      <c r="I44" s="127">
        <v>65.819999999999993</v>
      </c>
      <c r="J44" s="127">
        <v>8.0000000000000002E-3</v>
      </c>
      <c r="K44" s="127">
        <v>7.0000000000000001E-3</v>
      </c>
      <c r="L44" s="127">
        <v>0.1</v>
      </c>
      <c r="M44" s="127">
        <v>8.0000000000000002E-3</v>
      </c>
      <c r="N44" s="127">
        <v>0.03</v>
      </c>
      <c r="O44" s="127">
        <v>9.85</v>
      </c>
      <c r="P44" s="127">
        <v>7.94</v>
      </c>
      <c r="Q44" s="127">
        <v>0.08</v>
      </c>
      <c r="R44" s="127">
        <v>2.21</v>
      </c>
      <c r="S44" s="127">
        <v>1.84</v>
      </c>
      <c r="T44" s="127">
        <v>0.1</v>
      </c>
      <c r="U44" s="71"/>
      <c r="V44" s="71"/>
      <c r="W44" s="71"/>
      <c r="X44" s="71"/>
      <c r="Y44" s="71"/>
    </row>
    <row r="45" spans="1:25" s="60" customFormat="1" ht="11.25" customHeight="1" x14ac:dyDescent="0.2">
      <c r="A45" s="125">
        <v>222</v>
      </c>
      <c r="B45" s="203" t="s">
        <v>71</v>
      </c>
      <c r="C45" s="204"/>
      <c r="D45" s="126">
        <v>160</v>
      </c>
      <c r="E45" s="127">
        <v>62.66</v>
      </c>
      <c r="F45" s="119">
        <v>14.042</v>
      </c>
      <c r="G45" s="119">
        <v>13.53</v>
      </c>
      <c r="H45" s="119">
        <v>29.65</v>
      </c>
      <c r="I45" s="119">
        <v>296.60000000000002</v>
      </c>
      <c r="J45" s="119">
        <v>0.24</v>
      </c>
      <c r="K45" s="119">
        <v>0.38</v>
      </c>
      <c r="L45" s="119">
        <v>0.88</v>
      </c>
      <c r="M45" s="119">
        <v>0.2</v>
      </c>
      <c r="N45" s="119">
        <v>1.28</v>
      </c>
      <c r="O45" s="119">
        <v>203.25</v>
      </c>
      <c r="P45" s="119">
        <v>390.21199999999999</v>
      </c>
      <c r="Q45" s="119">
        <v>1.1200000000000001</v>
      </c>
      <c r="R45" s="119">
        <v>1.9E-2</v>
      </c>
      <c r="S45" s="119">
        <v>88.36</v>
      </c>
      <c r="T45" s="119">
        <v>2.38</v>
      </c>
      <c r="U45" s="71"/>
      <c r="V45" s="71"/>
      <c r="W45" s="71"/>
      <c r="X45" s="71"/>
      <c r="Y45" s="71"/>
    </row>
    <row r="46" spans="1:25" s="60" customFormat="1" ht="12.75" customHeight="1" x14ac:dyDescent="0.2">
      <c r="A46" s="91">
        <v>377</v>
      </c>
      <c r="B46" s="210" t="s">
        <v>41</v>
      </c>
      <c r="C46" s="210"/>
      <c r="D46" s="99">
        <v>200</v>
      </c>
      <c r="E46" s="100">
        <v>3.81</v>
      </c>
      <c r="F46" s="100">
        <v>0.26</v>
      </c>
      <c r="G46" s="100">
        <v>0.06</v>
      </c>
      <c r="H46" s="100">
        <v>15.22</v>
      </c>
      <c r="I46" s="100">
        <f>F46*4+G46*9+H46*4</f>
        <v>62.46</v>
      </c>
      <c r="J46" s="100"/>
      <c r="K46" s="100">
        <v>0.01</v>
      </c>
      <c r="L46" s="100">
        <v>2.9</v>
      </c>
      <c r="M46" s="101">
        <v>0</v>
      </c>
      <c r="N46" s="100">
        <v>0.06</v>
      </c>
      <c r="O46" s="100">
        <v>8.0500000000000007</v>
      </c>
      <c r="P46" s="100">
        <v>9.7799999999999994</v>
      </c>
      <c r="Q46" s="100">
        <v>1.7000000000000001E-2</v>
      </c>
      <c r="R46" s="103">
        <v>0</v>
      </c>
      <c r="S46" s="100">
        <v>5.24</v>
      </c>
      <c r="T46" s="100">
        <v>0.87</v>
      </c>
      <c r="U46" s="58"/>
      <c r="V46" s="59"/>
      <c r="W46" s="59"/>
      <c r="X46" s="59"/>
    </row>
    <row r="47" spans="1:25" s="71" customFormat="1" ht="14.25" customHeight="1" x14ac:dyDescent="0.2">
      <c r="A47" s="104" t="s">
        <v>58</v>
      </c>
      <c r="B47" s="238" t="s">
        <v>78</v>
      </c>
      <c r="C47" s="238"/>
      <c r="D47" s="105">
        <v>200</v>
      </c>
      <c r="E47" s="106"/>
      <c r="F47" s="107">
        <v>5.6</v>
      </c>
      <c r="G47" s="107">
        <v>6.4</v>
      </c>
      <c r="H47" s="107">
        <v>9.4</v>
      </c>
      <c r="I47" s="107">
        <v>117.6</v>
      </c>
      <c r="J47" s="107">
        <v>0.08</v>
      </c>
      <c r="K47" s="107">
        <v>0.307</v>
      </c>
      <c r="L47" s="107">
        <v>2.6</v>
      </c>
      <c r="M47" s="107">
        <v>6.7000000000000004E-2</v>
      </c>
      <c r="N47" s="107">
        <v>0.29199999999999998</v>
      </c>
      <c r="O47" s="107">
        <v>240</v>
      </c>
      <c r="P47" s="107">
        <v>180</v>
      </c>
      <c r="Q47" s="107">
        <v>0.8</v>
      </c>
      <c r="R47" s="107">
        <v>1.7999999999999999E-2</v>
      </c>
      <c r="S47" s="107">
        <v>28</v>
      </c>
      <c r="T47" s="107">
        <v>0.12</v>
      </c>
    </row>
    <row r="48" spans="1:25" s="44" customFormat="1" ht="14.25" customHeight="1" x14ac:dyDescent="0.2">
      <c r="A48" s="139" t="str">
        <f>A112</f>
        <v xml:space="preserve">Итого за Завтрак </v>
      </c>
      <c r="B48" s="140"/>
      <c r="C48" s="140"/>
      <c r="D48" s="110">
        <f>SUM(D44:D47)</f>
        <v>595</v>
      </c>
      <c r="E48" s="111">
        <f>SUM(E44:E46)</f>
        <v>73</v>
      </c>
      <c r="F48" s="111">
        <f t="shared" ref="F48:T48" si="9">SUM(F44:F47)</f>
        <v>21.262</v>
      </c>
      <c r="G48" s="111">
        <f t="shared" si="9"/>
        <v>21.740000000000002</v>
      </c>
      <c r="H48" s="111">
        <f t="shared" si="9"/>
        <v>66.290000000000006</v>
      </c>
      <c r="I48" s="111">
        <f t="shared" si="9"/>
        <v>542.48</v>
      </c>
      <c r="J48" s="111">
        <f t="shared" si="9"/>
        <v>0.32800000000000001</v>
      </c>
      <c r="K48" s="111">
        <f t="shared" si="9"/>
        <v>0.70399999999999996</v>
      </c>
      <c r="L48" s="111">
        <f t="shared" si="9"/>
        <v>6.48</v>
      </c>
      <c r="M48" s="111">
        <f t="shared" si="9"/>
        <v>0.27500000000000002</v>
      </c>
      <c r="N48" s="111">
        <f t="shared" si="9"/>
        <v>1.6620000000000001</v>
      </c>
      <c r="O48" s="111">
        <f t="shared" si="9"/>
        <v>461.15</v>
      </c>
      <c r="P48" s="111">
        <f t="shared" si="9"/>
        <v>587.93200000000002</v>
      </c>
      <c r="Q48" s="111">
        <f t="shared" si="9"/>
        <v>2.0170000000000003</v>
      </c>
      <c r="R48" s="111">
        <f t="shared" si="9"/>
        <v>2.2469999999999999</v>
      </c>
      <c r="S48" s="111">
        <f t="shared" si="9"/>
        <v>123.44</v>
      </c>
      <c r="T48" s="111">
        <f t="shared" si="9"/>
        <v>3.47</v>
      </c>
      <c r="U48" s="23"/>
      <c r="V48" s="45"/>
      <c r="W48" s="45"/>
      <c r="X48" s="45"/>
    </row>
    <row r="49" spans="1:24" s="44" customFormat="1" ht="14.25" customHeight="1" x14ac:dyDescent="0.2">
      <c r="A49" s="206" t="s">
        <v>55</v>
      </c>
      <c r="B49" s="207"/>
      <c r="C49" s="207"/>
      <c r="D49" s="208"/>
      <c r="E49" s="132"/>
      <c r="F49" s="114">
        <f t="shared" ref="F49:T49" si="10">F48/F66</f>
        <v>0.23624444444444445</v>
      </c>
      <c r="G49" s="114">
        <f t="shared" si="10"/>
        <v>0.23630434782608697</v>
      </c>
      <c r="H49" s="114">
        <f t="shared" si="10"/>
        <v>0.1730809399477807</v>
      </c>
      <c r="I49" s="114">
        <f t="shared" si="10"/>
        <v>0.19944117647058823</v>
      </c>
      <c r="J49" s="114">
        <f t="shared" si="10"/>
        <v>0.23428571428571432</v>
      </c>
      <c r="K49" s="114">
        <f t="shared" si="10"/>
        <v>0.43999999999999995</v>
      </c>
      <c r="L49" s="114">
        <f t="shared" si="10"/>
        <v>9.2571428571428582E-2</v>
      </c>
      <c r="M49" s="114">
        <f t="shared" si="10"/>
        <v>0.30555555555555558</v>
      </c>
      <c r="N49" s="114">
        <f t="shared" si="10"/>
        <v>0.13850000000000001</v>
      </c>
      <c r="O49" s="115">
        <f t="shared" si="10"/>
        <v>0.38429166666666664</v>
      </c>
      <c r="P49" s="114">
        <f t="shared" si="10"/>
        <v>0.48994333333333334</v>
      </c>
      <c r="Q49" s="114">
        <f t="shared" si="10"/>
        <v>0.1440714285714286</v>
      </c>
      <c r="R49" s="114">
        <f t="shared" si="10"/>
        <v>22.47</v>
      </c>
      <c r="S49" s="114">
        <f t="shared" si="10"/>
        <v>0.41146666666666665</v>
      </c>
      <c r="T49" s="115">
        <f t="shared" si="10"/>
        <v>0.1927777777777778</v>
      </c>
      <c r="U49" s="47"/>
      <c r="V49" s="45"/>
      <c r="W49" s="45"/>
      <c r="X49" s="45"/>
    </row>
    <row r="50" spans="1:24" s="44" customFormat="1" ht="11.25" customHeight="1" x14ac:dyDescent="0.2">
      <c r="A50" s="222" t="s">
        <v>24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4"/>
      <c r="U50" s="6"/>
      <c r="V50" s="19"/>
      <c r="W50" s="19"/>
      <c r="X50" s="19"/>
    </row>
    <row r="51" spans="1:24" s="60" customFormat="1" ht="20.25" customHeight="1" x14ac:dyDescent="0.2">
      <c r="A51" s="94">
        <v>71</v>
      </c>
      <c r="B51" s="193" t="s">
        <v>108</v>
      </c>
      <c r="C51" s="194"/>
      <c r="D51" s="95">
        <v>80</v>
      </c>
      <c r="E51" s="95">
        <v>15.59</v>
      </c>
      <c r="F51" s="96">
        <v>0.33</v>
      </c>
      <c r="G51" s="96">
        <v>0.04</v>
      </c>
      <c r="H51" s="96">
        <v>1.1299999999999999</v>
      </c>
      <c r="I51" s="96">
        <v>6.22</v>
      </c>
      <c r="J51" s="97">
        <v>8.9999999999999993E-3</v>
      </c>
      <c r="K51" s="96">
        <v>0.01</v>
      </c>
      <c r="L51" s="98">
        <v>3</v>
      </c>
      <c r="M51" s="97">
        <v>3.0000000000000001E-3</v>
      </c>
      <c r="N51" s="95">
        <v>0.03</v>
      </c>
      <c r="O51" s="96">
        <v>6.9</v>
      </c>
      <c r="P51" s="96">
        <v>12.6</v>
      </c>
      <c r="Q51" s="97">
        <v>6.4000000000000001E-2</v>
      </c>
      <c r="R51" s="97">
        <v>1E-3</v>
      </c>
      <c r="S51" s="96">
        <v>4.2</v>
      </c>
      <c r="T51" s="96">
        <v>0.18</v>
      </c>
      <c r="U51" s="62"/>
      <c r="V51" s="63"/>
      <c r="W51" s="63"/>
      <c r="X51" s="63"/>
    </row>
    <row r="52" spans="1:24" s="60" customFormat="1" ht="22.5" customHeight="1" x14ac:dyDescent="0.2">
      <c r="A52" s="91">
        <v>82</v>
      </c>
      <c r="B52" s="193" t="s">
        <v>73</v>
      </c>
      <c r="C52" s="194"/>
      <c r="D52" s="101">
        <v>250</v>
      </c>
      <c r="E52" s="101">
        <v>11.73</v>
      </c>
      <c r="F52" s="100">
        <v>2.4300000000000002</v>
      </c>
      <c r="G52" s="100">
        <v>3.12</v>
      </c>
      <c r="H52" s="100">
        <v>12.01</v>
      </c>
      <c r="I52" s="100">
        <f>F52*4+G52*9+H52*4</f>
        <v>85.84</v>
      </c>
      <c r="J52" s="101">
        <v>6.4000000000000001E-2</v>
      </c>
      <c r="K52" s="101">
        <v>6.4000000000000001E-2</v>
      </c>
      <c r="L52" s="100">
        <v>20.98</v>
      </c>
      <c r="M52" s="103">
        <v>7.5999999999999998E-2</v>
      </c>
      <c r="N52" s="100">
        <v>0.25700000000000001</v>
      </c>
      <c r="O52" s="100">
        <v>49.59</v>
      </c>
      <c r="P52" s="100">
        <v>58.68</v>
      </c>
      <c r="Q52" s="100">
        <v>0.746</v>
      </c>
      <c r="R52" s="103">
        <v>1.0999999999999999E-2</v>
      </c>
      <c r="S52" s="100">
        <v>25.43</v>
      </c>
      <c r="T52" s="100">
        <v>1.32</v>
      </c>
      <c r="U52" s="58"/>
      <c r="V52" s="59"/>
      <c r="W52" s="59"/>
      <c r="X52" s="59"/>
    </row>
    <row r="53" spans="1:24" s="60" customFormat="1" ht="12.75" customHeight="1" x14ac:dyDescent="0.2">
      <c r="A53" s="91">
        <v>293</v>
      </c>
      <c r="B53" s="193" t="s">
        <v>91</v>
      </c>
      <c r="C53" s="194"/>
      <c r="D53" s="99">
        <v>110</v>
      </c>
      <c r="E53" s="100">
        <v>44.3</v>
      </c>
      <c r="F53" s="100">
        <v>23.238</v>
      </c>
      <c r="G53" s="100">
        <v>13.28</v>
      </c>
      <c r="H53" s="100">
        <v>0.20599999999999999</v>
      </c>
      <c r="I53" s="100">
        <v>213.31800000000001</v>
      </c>
      <c r="J53" s="100">
        <v>0.11</v>
      </c>
      <c r="K53" s="100">
        <v>0.23</v>
      </c>
      <c r="L53" s="100">
        <v>2.8000000000000001E-2</v>
      </c>
      <c r="M53" s="99">
        <v>0</v>
      </c>
      <c r="N53" s="101">
        <v>0</v>
      </c>
      <c r="O53" s="116">
        <v>23.78</v>
      </c>
      <c r="P53" s="100">
        <v>1.95</v>
      </c>
      <c r="Q53" s="99">
        <v>0</v>
      </c>
      <c r="R53" s="99">
        <v>0</v>
      </c>
      <c r="S53" s="100">
        <v>20.87</v>
      </c>
      <c r="T53" s="100">
        <v>2.2599999999999998</v>
      </c>
      <c r="U53" s="58"/>
      <c r="V53" s="59"/>
      <c r="W53" s="59"/>
      <c r="X53" s="59"/>
    </row>
    <row r="54" spans="1:24" s="60" customFormat="1" ht="24" customHeight="1" x14ac:dyDescent="0.2">
      <c r="A54" s="91">
        <v>304</v>
      </c>
      <c r="B54" s="210" t="s">
        <v>74</v>
      </c>
      <c r="C54" s="210"/>
      <c r="D54" s="99">
        <v>180</v>
      </c>
      <c r="E54" s="100">
        <v>12.58</v>
      </c>
      <c r="F54" s="100">
        <v>4.4400000000000004</v>
      </c>
      <c r="G54" s="100">
        <v>6.44</v>
      </c>
      <c r="H54" s="100">
        <v>44.01</v>
      </c>
      <c r="I54" s="100">
        <v>251.82</v>
      </c>
      <c r="J54" s="100">
        <v>3.5999999999999997E-2</v>
      </c>
      <c r="K54" s="101">
        <v>2.4E-2</v>
      </c>
      <c r="L54" s="100">
        <v>0</v>
      </c>
      <c r="M54" s="101">
        <v>4.8000000000000001E-2</v>
      </c>
      <c r="N54" s="116">
        <v>0</v>
      </c>
      <c r="O54" s="116">
        <v>17.93</v>
      </c>
      <c r="P54" s="99">
        <v>95.25</v>
      </c>
      <c r="Q54" s="117">
        <v>0</v>
      </c>
      <c r="R54" s="116">
        <v>1E-3</v>
      </c>
      <c r="S54" s="100">
        <v>33.47</v>
      </c>
      <c r="T54" s="141">
        <v>0.70799999999999996</v>
      </c>
      <c r="U54" s="59"/>
      <c r="V54" s="59"/>
      <c r="W54" s="59"/>
      <c r="X54" s="59"/>
    </row>
    <row r="55" spans="1:24" s="64" customFormat="1" ht="14.25" customHeight="1" x14ac:dyDescent="0.2">
      <c r="A55" s="142">
        <v>699</v>
      </c>
      <c r="B55" s="217" t="s">
        <v>80</v>
      </c>
      <c r="C55" s="218"/>
      <c r="D55" s="143">
        <v>200</v>
      </c>
      <c r="E55" s="144">
        <v>5.2</v>
      </c>
      <c r="F55" s="144">
        <v>0.1</v>
      </c>
      <c r="G55" s="145">
        <v>0</v>
      </c>
      <c r="H55" s="146">
        <v>15.7</v>
      </c>
      <c r="I55" s="144">
        <v>63.2</v>
      </c>
      <c r="J55" s="145">
        <v>1.7999999999999999E-2</v>
      </c>
      <c r="K55" s="145">
        <v>1.2E-2</v>
      </c>
      <c r="L55" s="146">
        <v>8</v>
      </c>
      <c r="M55" s="145">
        <v>0</v>
      </c>
      <c r="N55" s="144">
        <v>0.2</v>
      </c>
      <c r="O55" s="144">
        <v>10.8</v>
      </c>
      <c r="P55" s="144">
        <v>1.7</v>
      </c>
      <c r="Q55" s="144">
        <v>0</v>
      </c>
      <c r="R55" s="147">
        <v>0</v>
      </c>
      <c r="S55" s="144">
        <v>5.8</v>
      </c>
      <c r="T55" s="144">
        <v>1.6</v>
      </c>
    </row>
    <row r="56" spans="1:24" s="60" customFormat="1" ht="11.25" customHeight="1" x14ac:dyDescent="0.2">
      <c r="A56" s="120" t="s">
        <v>58</v>
      </c>
      <c r="B56" s="193" t="s">
        <v>42</v>
      </c>
      <c r="C56" s="194"/>
      <c r="D56" s="99">
        <v>40</v>
      </c>
      <c r="E56" s="100">
        <v>2.08</v>
      </c>
      <c r="F56" s="100">
        <f>2.64*D56/40</f>
        <v>2.64</v>
      </c>
      <c r="G56" s="100">
        <f>0.48*D56/40</f>
        <v>0.48</v>
      </c>
      <c r="H56" s="100">
        <f>13.68*D56/40</f>
        <v>13.680000000000001</v>
      </c>
      <c r="I56" s="100">
        <f>F56*4+G56*9+H56*4</f>
        <v>69.600000000000009</v>
      </c>
      <c r="J56" s="101">
        <f>0.08*D56/40</f>
        <v>0.08</v>
      </c>
      <c r="K56" s="100">
        <f>0.04*D56/40</f>
        <v>0.04</v>
      </c>
      <c r="L56" s="99">
        <v>0</v>
      </c>
      <c r="M56" s="99">
        <v>0</v>
      </c>
      <c r="N56" s="100">
        <f>2.4*D56/40</f>
        <v>2.4</v>
      </c>
      <c r="O56" s="100">
        <f>14*D56/40</f>
        <v>14</v>
      </c>
      <c r="P56" s="100">
        <f>63.2*D56/40</f>
        <v>63.2</v>
      </c>
      <c r="Q56" s="100">
        <f>1.2*D56/40</f>
        <v>1.2</v>
      </c>
      <c r="R56" s="103">
        <f>0.001*D56/40</f>
        <v>1E-3</v>
      </c>
      <c r="S56" s="100">
        <f>9.4*D56/40</f>
        <v>9.4</v>
      </c>
      <c r="T56" s="101">
        <f>0.78*D56/40</f>
        <v>0.78</v>
      </c>
      <c r="U56" s="66"/>
      <c r="V56" s="67"/>
      <c r="W56" s="67"/>
      <c r="X56" s="67"/>
    </row>
    <row r="57" spans="1:24" s="60" customFormat="1" ht="11.25" customHeight="1" x14ac:dyDescent="0.2">
      <c r="A57" s="102" t="s">
        <v>58</v>
      </c>
      <c r="B57" s="193" t="s">
        <v>47</v>
      </c>
      <c r="C57" s="194"/>
      <c r="D57" s="99">
        <v>30</v>
      </c>
      <c r="E57" s="100">
        <v>2.52</v>
      </c>
      <c r="F57" s="100">
        <f>1.52*D57/30</f>
        <v>1.52</v>
      </c>
      <c r="G57" s="103">
        <f>0.16*D57/30</f>
        <v>0.16</v>
      </c>
      <c r="H57" s="103">
        <f>9.84*D57/30</f>
        <v>9.84</v>
      </c>
      <c r="I57" s="103">
        <f>F57*4+G57*9+H57*4</f>
        <v>46.879999999999995</v>
      </c>
      <c r="J57" s="103">
        <f>0.02*D57/30</f>
        <v>0.02</v>
      </c>
      <c r="K57" s="103">
        <f>0.01*D57/30</f>
        <v>0.01</v>
      </c>
      <c r="L57" s="103">
        <f>0.44*D57/30</f>
        <v>0.44</v>
      </c>
      <c r="M57" s="103">
        <v>0</v>
      </c>
      <c r="N57" s="103">
        <f>0.7*D57/30</f>
        <v>0.7</v>
      </c>
      <c r="O57" s="103">
        <f>4*D57/30</f>
        <v>4</v>
      </c>
      <c r="P57" s="103">
        <f>13*D57/30</f>
        <v>13</v>
      </c>
      <c r="Q57" s="103">
        <f>0.008*D57/30</f>
        <v>8.0000000000000002E-3</v>
      </c>
      <c r="R57" s="103">
        <f>0.001*D57/30</f>
        <v>1E-3</v>
      </c>
      <c r="S57" s="103">
        <v>0</v>
      </c>
      <c r="T57" s="103">
        <f>0.22*D57/30</f>
        <v>0.22</v>
      </c>
      <c r="U57" s="58"/>
      <c r="V57" s="59"/>
      <c r="W57" s="59"/>
      <c r="X57" s="59"/>
    </row>
    <row r="58" spans="1:24" s="44" customFormat="1" ht="11.25" customHeight="1" x14ac:dyDescent="0.2">
      <c r="A58" s="108" t="s">
        <v>25</v>
      </c>
      <c r="B58" s="109"/>
      <c r="C58" s="109"/>
      <c r="D58" s="110">
        <f t="shared" ref="D58:I58" si="11">SUM(D51:D57)</f>
        <v>890</v>
      </c>
      <c r="E58" s="111">
        <f t="shared" si="11"/>
        <v>94</v>
      </c>
      <c r="F58" s="121">
        <f t="shared" si="11"/>
        <v>34.698000000000008</v>
      </c>
      <c r="G58" s="122">
        <f t="shared" si="11"/>
        <v>23.52</v>
      </c>
      <c r="H58" s="122">
        <f t="shared" si="11"/>
        <v>96.576000000000008</v>
      </c>
      <c r="I58" s="122">
        <f t="shared" si="11"/>
        <v>736.87800000000016</v>
      </c>
      <c r="J58" s="121">
        <f t="shared" ref="J58:S58" si="12">SUM(J51:J57)</f>
        <v>0.33700000000000002</v>
      </c>
      <c r="K58" s="121">
        <f t="shared" si="12"/>
        <v>0.39</v>
      </c>
      <c r="L58" s="122">
        <f t="shared" si="12"/>
        <v>32.447999999999993</v>
      </c>
      <c r="M58" s="121">
        <f t="shared" si="12"/>
        <v>0.127</v>
      </c>
      <c r="N58" s="148">
        <f t="shared" si="12"/>
        <v>3.5869999999999997</v>
      </c>
      <c r="O58" s="122">
        <f t="shared" si="12"/>
        <v>127.00000000000001</v>
      </c>
      <c r="P58" s="121">
        <f t="shared" si="12"/>
        <v>246.38</v>
      </c>
      <c r="Q58" s="122">
        <f t="shared" si="12"/>
        <v>2.0179999999999998</v>
      </c>
      <c r="R58" s="124">
        <f t="shared" si="12"/>
        <v>1.5000000000000003E-2</v>
      </c>
      <c r="S58" s="123">
        <f t="shared" si="12"/>
        <v>99.17</v>
      </c>
      <c r="T58" s="121">
        <f>SUM(T51:T57)</f>
        <v>7.0679999999999996</v>
      </c>
      <c r="U58" s="23"/>
      <c r="V58" s="45"/>
      <c r="W58" s="45"/>
      <c r="X58" s="45"/>
    </row>
    <row r="59" spans="1:24" s="44" customFormat="1" ht="11.25" customHeight="1" x14ac:dyDescent="0.2">
      <c r="A59" s="206" t="s">
        <v>55</v>
      </c>
      <c r="B59" s="207"/>
      <c r="C59" s="207"/>
      <c r="D59" s="208"/>
      <c r="E59" s="112"/>
      <c r="F59" s="113">
        <f t="shared" ref="F59:T59" si="13">F58/F66</f>
        <v>0.38553333333333339</v>
      </c>
      <c r="G59" s="114">
        <f t="shared" si="13"/>
        <v>0.25565217391304346</v>
      </c>
      <c r="H59" s="114">
        <f t="shared" si="13"/>
        <v>0.2521566579634465</v>
      </c>
      <c r="I59" s="114">
        <f t="shared" si="13"/>
        <v>0.27091102941176476</v>
      </c>
      <c r="J59" s="114">
        <f t="shared" si="13"/>
        <v>0.24071428571428574</v>
      </c>
      <c r="K59" s="114">
        <f t="shared" si="13"/>
        <v>0.24374999999999999</v>
      </c>
      <c r="L59" s="114">
        <f t="shared" si="13"/>
        <v>0.46354285714285703</v>
      </c>
      <c r="M59" s="114">
        <f t="shared" si="13"/>
        <v>0.1411111111111111</v>
      </c>
      <c r="N59" s="114">
        <f t="shared" si="13"/>
        <v>0.29891666666666666</v>
      </c>
      <c r="O59" s="115">
        <f t="shared" si="13"/>
        <v>0.10583333333333335</v>
      </c>
      <c r="P59" s="114">
        <f t="shared" si="13"/>
        <v>0.20531666666666668</v>
      </c>
      <c r="Q59" s="114">
        <f t="shared" si="13"/>
        <v>0.14414285714285713</v>
      </c>
      <c r="R59" s="114">
        <f t="shared" si="13"/>
        <v>0.15000000000000002</v>
      </c>
      <c r="S59" s="114">
        <f t="shared" si="13"/>
        <v>0.33056666666666668</v>
      </c>
      <c r="T59" s="115">
        <f t="shared" si="13"/>
        <v>0.39266666666666666</v>
      </c>
      <c r="U59" s="47"/>
      <c r="V59" s="45"/>
      <c r="W59" s="45"/>
      <c r="X59" s="45"/>
    </row>
    <row r="60" spans="1:24" s="44" customFormat="1" ht="11.25" customHeight="1" x14ac:dyDescent="0.2">
      <c r="A60" s="222" t="s">
        <v>26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  <c r="S60" s="223"/>
      <c r="T60" s="224"/>
      <c r="U60" s="6"/>
      <c r="V60" s="19"/>
      <c r="W60" s="19"/>
      <c r="X60" s="19"/>
    </row>
    <row r="61" spans="1:24" s="42" customFormat="1" ht="11.25" customHeight="1" x14ac:dyDescent="0.2">
      <c r="A61" s="125"/>
      <c r="B61" s="205"/>
      <c r="C61" s="205"/>
      <c r="D61" s="126"/>
      <c r="E61" s="127"/>
      <c r="F61" s="127"/>
      <c r="G61" s="130"/>
      <c r="H61" s="130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</row>
    <row r="62" spans="1:24" s="42" customFormat="1" ht="12.75" customHeight="1" x14ac:dyDescent="0.2">
      <c r="A62" s="131"/>
      <c r="B62" s="197"/>
      <c r="C62" s="197"/>
      <c r="D62" s="118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3" spans="1:24" s="1" customFormat="1" ht="11.25" customHeight="1" x14ac:dyDescent="0.2">
      <c r="A63" s="108" t="s">
        <v>27</v>
      </c>
      <c r="B63" s="109"/>
      <c r="C63" s="109"/>
      <c r="D63" s="110">
        <f t="shared" ref="D63:I63" si="14">SUM(D61:D62)</f>
        <v>0</v>
      </c>
      <c r="E63" s="111">
        <f t="shared" si="14"/>
        <v>0</v>
      </c>
      <c r="F63" s="121">
        <f t="shared" si="14"/>
        <v>0</v>
      </c>
      <c r="G63" s="122">
        <f t="shared" si="14"/>
        <v>0</v>
      </c>
      <c r="H63" s="122">
        <f t="shared" si="14"/>
        <v>0</v>
      </c>
      <c r="I63" s="122">
        <f t="shared" si="14"/>
        <v>0</v>
      </c>
      <c r="J63" s="121">
        <f t="shared" ref="J63:T63" si="15">SUM(J61:J62)</f>
        <v>0</v>
      </c>
      <c r="K63" s="121">
        <f t="shared" si="15"/>
        <v>0</v>
      </c>
      <c r="L63" s="122">
        <f t="shared" si="15"/>
        <v>0</v>
      </c>
      <c r="M63" s="121">
        <f t="shared" si="15"/>
        <v>0</v>
      </c>
      <c r="N63" s="122">
        <f t="shared" si="15"/>
        <v>0</v>
      </c>
      <c r="O63" s="122">
        <f t="shared" si="15"/>
        <v>0</v>
      </c>
      <c r="P63" s="122">
        <f t="shared" si="15"/>
        <v>0</v>
      </c>
      <c r="Q63" s="122">
        <f t="shared" si="15"/>
        <v>0</v>
      </c>
      <c r="R63" s="124">
        <f t="shared" si="15"/>
        <v>0</v>
      </c>
      <c r="S63" s="122">
        <f t="shared" si="15"/>
        <v>0</v>
      </c>
      <c r="T63" s="121">
        <f t="shared" si="15"/>
        <v>0</v>
      </c>
      <c r="U63" s="23"/>
      <c r="V63" s="45"/>
      <c r="W63" s="45"/>
      <c r="X63" s="45"/>
    </row>
    <row r="64" spans="1:24" s="1" customFormat="1" ht="11.25" customHeight="1" x14ac:dyDescent="0.2">
      <c r="A64" s="206" t="s">
        <v>55</v>
      </c>
      <c r="B64" s="207"/>
      <c r="C64" s="207"/>
      <c r="D64" s="208"/>
      <c r="E64" s="132"/>
      <c r="F64" s="114">
        <f>F63/F66</f>
        <v>0</v>
      </c>
      <c r="G64" s="114">
        <f t="shared" ref="G64:T64" si="16">G63/G66</f>
        <v>0</v>
      </c>
      <c r="H64" s="114">
        <f t="shared" si="16"/>
        <v>0</v>
      </c>
      <c r="I64" s="114">
        <f t="shared" si="16"/>
        <v>0</v>
      </c>
      <c r="J64" s="114">
        <f t="shared" si="16"/>
        <v>0</v>
      </c>
      <c r="K64" s="114">
        <f t="shared" si="16"/>
        <v>0</v>
      </c>
      <c r="L64" s="114">
        <f t="shared" si="16"/>
        <v>0</v>
      </c>
      <c r="M64" s="114">
        <f t="shared" si="16"/>
        <v>0</v>
      </c>
      <c r="N64" s="114">
        <f t="shared" si="16"/>
        <v>0</v>
      </c>
      <c r="O64" s="114">
        <f t="shared" si="16"/>
        <v>0</v>
      </c>
      <c r="P64" s="114">
        <f t="shared" si="16"/>
        <v>0</v>
      </c>
      <c r="Q64" s="114">
        <f t="shared" si="16"/>
        <v>0</v>
      </c>
      <c r="R64" s="114">
        <f t="shared" si="16"/>
        <v>0</v>
      </c>
      <c r="S64" s="114">
        <f t="shared" si="16"/>
        <v>0</v>
      </c>
      <c r="T64" s="115">
        <f t="shared" si="16"/>
        <v>0</v>
      </c>
      <c r="U64" s="47"/>
      <c r="V64" s="45"/>
      <c r="W64" s="45"/>
      <c r="X64" s="45"/>
    </row>
    <row r="65" spans="1:24" s="1" customFormat="1" ht="11.25" customHeight="1" x14ac:dyDescent="0.2">
      <c r="A65" s="108" t="s">
        <v>54</v>
      </c>
      <c r="B65" s="109"/>
      <c r="C65" s="109"/>
      <c r="D65" s="133">
        <f>D58+D48</f>
        <v>1485</v>
      </c>
      <c r="E65" s="134">
        <f>E58+E48</f>
        <v>167</v>
      </c>
      <c r="F65" s="121">
        <f t="shared" ref="F65:T65" si="17">SUM(F48,F58,F63)</f>
        <v>55.960000000000008</v>
      </c>
      <c r="G65" s="122">
        <f t="shared" si="17"/>
        <v>45.260000000000005</v>
      </c>
      <c r="H65" s="122">
        <f t="shared" si="17"/>
        <v>162.86600000000001</v>
      </c>
      <c r="I65" s="122">
        <f t="shared" si="17"/>
        <v>1279.3580000000002</v>
      </c>
      <c r="J65" s="121">
        <f t="shared" si="17"/>
        <v>0.66500000000000004</v>
      </c>
      <c r="K65" s="121">
        <f t="shared" si="17"/>
        <v>1.0939999999999999</v>
      </c>
      <c r="L65" s="123">
        <f t="shared" si="17"/>
        <v>38.927999999999997</v>
      </c>
      <c r="M65" s="121">
        <f t="shared" si="17"/>
        <v>0.40200000000000002</v>
      </c>
      <c r="N65" s="123">
        <f t="shared" si="17"/>
        <v>5.2489999999999997</v>
      </c>
      <c r="O65" s="122">
        <f t="shared" si="17"/>
        <v>588.15</v>
      </c>
      <c r="P65" s="122">
        <f t="shared" si="17"/>
        <v>834.31200000000001</v>
      </c>
      <c r="Q65" s="122">
        <f t="shared" si="17"/>
        <v>4.0350000000000001</v>
      </c>
      <c r="R65" s="124">
        <f t="shared" si="17"/>
        <v>2.262</v>
      </c>
      <c r="S65" s="121">
        <f t="shared" si="17"/>
        <v>222.61</v>
      </c>
      <c r="T65" s="121">
        <f t="shared" si="17"/>
        <v>10.538</v>
      </c>
      <c r="U65" s="25"/>
      <c r="V65" s="45"/>
      <c r="W65" s="45"/>
      <c r="X65" s="45"/>
    </row>
    <row r="66" spans="1:24" s="1" customFormat="1" ht="11.25" customHeight="1" x14ac:dyDescent="0.2">
      <c r="A66" s="186" t="s">
        <v>56</v>
      </c>
      <c r="B66" s="187"/>
      <c r="C66" s="187"/>
      <c r="D66" s="188"/>
      <c r="E66" s="135"/>
      <c r="F66" s="100">
        <v>90</v>
      </c>
      <c r="G66" s="116">
        <v>92</v>
      </c>
      <c r="H66" s="116">
        <v>383</v>
      </c>
      <c r="I66" s="116">
        <v>2720</v>
      </c>
      <c r="J66" s="100">
        <v>1.4</v>
      </c>
      <c r="K66" s="100">
        <v>1.6</v>
      </c>
      <c r="L66" s="99">
        <v>70</v>
      </c>
      <c r="M66" s="100">
        <v>0.9</v>
      </c>
      <c r="N66" s="99">
        <v>12</v>
      </c>
      <c r="O66" s="99">
        <v>1200</v>
      </c>
      <c r="P66" s="99">
        <v>1200</v>
      </c>
      <c r="Q66" s="99">
        <v>14</v>
      </c>
      <c r="R66" s="116">
        <v>0.1</v>
      </c>
      <c r="S66" s="99">
        <v>300</v>
      </c>
      <c r="T66" s="100">
        <v>18</v>
      </c>
      <c r="U66" s="48"/>
      <c r="V66" s="49"/>
      <c r="W66" s="49"/>
      <c r="X66" s="49"/>
    </row>
    <row r="67" spans="1:24" s="3" customFormat="1" ht="11.25" customHeight="1" x14ac:dyDescent="0.2">
      <c r="A67" s="206" t="s">
        <v>55</v>
      </c>
      <c r="B67" s="207"/>
      <c r="C67" s="207"/>
      <c r="D67" s="208"/>
      <c r="E67" s="132"/>
      <c r="F67" s="114">
        <f t="shared" ref="F67:T67" si="18">F65/F66</f>
        <v>0.62177777777777787</v>
      </c>
      <c r="G67" s="115">
        <f t="shared" si="18"/>
        <v>0.49195652173913051</v>
      </c>
      <c r="H67" s="115">
        <f t="shared" si="18"/>
        <v>0.42523759791122717</v>
      </c>
      <c r="I67" s="115">
        <f t="shared" si="18"/>
        <v>0.47035220588235299</v>
      </c>
      <c r="J67" s="115">
        <f t="shared" si="18"/>
        <v>0.47500000000000003</v>
      </c>
      <c r="K67" s="115">
        <f t="shared" si="18"/>
        <v>0.68374999999999986</v>
      </c>
      <c r="L67" s="115">
        <f t="shared" si="18"/>
        <v>0.55611428571428567</v>
      </c>
      <c r="M67" s="136">
        <f t="shared" si="18"/>
        <v>0.44666666666666666</v>
      </c>
      <c r="N67" s="115">
        <f t="shared" si="18"/>
        <v>0.43741666666666662</v>
      </c>
      <c r="O67" s="115">
        <f t="shared" si="18"/>
        <v>0.49012499999999998</v>
      </c>
      <c r="P67" s="115">
        <f t="shared" si="18"/>
        <v>0.69525999999999999</v>
      </c>
      <c r="Q67" s="115">
        <f t="shared" si="18"/>
        <v>0.2882142857142857</v>
      </c>
      <c r="R67" s="136">
        <f t="shared" si="18"/>
        <v>22.619999999999997</v>
      </c>
      <c r="S67" s="115">
        <f t="shared" si="18"/>
        <v>0.74203333333333343</v>
      </c>
      <c r="T67" s="136">
        <f t="shared" si="18"/>
        <v>0.58544444444444443</v>
      </c>
      <c r="U67" s="30"/>
      <c r="V67" s="31"/>
      <c r="W67" s="31"/>
      <c r="X67" s="31"/>
    </row>
    <row r="68" spans="1:24" s="1" customFormat="1" ht="11.25" customHeight="1" x14ac:dyDescent="0.2">
      <c r="A68" s="85"/>
      <c r="B68" s="85"/>
      <c r="C68" s="137"/>
      <c r="D68" s="137"/>
      <c r="E68" s="137"/>
      <c r="F68" s="80"/>
      <c r="G68" s="81"/>
      <c r="H68" s="79"/>
      <c r="I68" s="79"/>
      <c r="J68" s="81"/>
      <c r="K68" s="81"/>
      <c r="L68" s="81"/>
      <c r="M68" s="213" t="s">
        <v>57</v>
      </c>
      <c r="N68" s="213"/>
      <c r="O68" s="213"/>
      <c r="P68" s="213"/>
      <c r="Q68" s="213"/>
      <c r="R68" s="213"/>
      <c r="S68" s="213"/>
      <c r="T68" s="213"/>
      <c r="U68" s="7"/>
      <c r="V68" s="14"/>
      <c r="W68" s="14"/>
      <c r="X68" s="14"/>
    </row>
    <row r="69" spans="1:24" s="1" customFormat="1" ht="11.25" customHeight="1" x14ac:dyDescent="0.2">
      <c r="A69" s="85"/>
      <c r="B69" s="85"/>
      <c r="C69" s="137"/>
      <c r="D69" s="137"/>
      <c r="E69" s="137"/>
      <c r="F69" s="80"/>
      <c r="G69" s="81"/>
      <c r="H69" s="79"/>
      <c r="I69" s="79"/>
      <c r="J69" s="81"/>
      <c r="K69" s="81"/>
      <c r="L69" s="81"/>
      <c r="M69" s="83"/>
      <c r="N69" s="83"/>
      <c r="O69" s="83"/>
      <c r="P69" s="83"/>
      <c r="Q69" s="83"/>
      <c r="R69" s="83"/>
      <c r="S69" s="83"/>
      <c r="T69" s="83"/>
      <c r="U69" s="7"/>
      <c r="V69" s="14"/>
      <c r="W69" s="14"/>
      <c r="X69" s="14"/>
    </row>
    <row r="70" spans="1:24" s="1" customFormat="1" ht="11.25" customHeight="1" x14ac:dyDescent="0.2">
      <c r="A70" s="209" t="s">
        <v>30</v>
      </c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8"/>
      <c r="V70" s="20"/>
      <c r="W70" s="20"/>
      <c r="X70" s="20"/>
    </row>
    <row r="71" spans="1:24" s="1" customFormat="1" ht="11.25" customHeight="1" x14ac:dyDescent="0.2">
      <c r="A71" s="84" t="s">
        <v>49</v>
      </c>
      <c r="B71" s="85"/>
      <c r="C71" s="85"/>
      <c r="D71" s="79"/>
      <c r="E71" s="79"/>
      <c r="F71" s="82"/>
      <c r="G71" s="181" t="s">
        <v>31</v>
      </c>
      <c r="H71" s="181"/>
      <c r="I71" s="181"/>
      <c r="J71" s="81"/>
      <c r="K71" s="81"/>
      <c r="L71" s="199" t="s">
        <v>1</v>
      </c>
      <c r="M71" s="199"/>
      <c r="N71" s="211" t="str">
        <f>N38</f>
        <v>осенне-зимний</v>
      </c>
      <c r="O71" s="211"/>
      <c r="P71" s="211"/>
      <c r="Q71" s="211"/>
      <c r="R71" s="81"/>
      <c r="S71" s="81"/>
      <c r="T71" s="81"/>
      <c r="U71" s="9"/>
      <c r="V71" s="15"/>
      <c r="W71" s="15"/>
      <c r="X71" s="15"/>
    </row>
    <row r="72" spans="1:24" s="1" customFormat="1" ht="11.25" customHeight="1" x14ac:dyDescent="0.2">
      <c r="A72" s="85"/>
      <c r="B72" s="85"/>
      <c r="C72" s="85"/>
      <c r="D72" s="198" t="s">
        <v>2</v>
      </c>
      <c r="E72" s="198"/>
      <c r="F72" s="198"/>
      <c r="G72" s="86">
        <v>1</v>
      </c>
      <c r="H72" s="81"/>
      <c r="I72" s="79"/>
      <c r="J72" s="79"/>
      <c r="K72" s="79"/>
      <c r="L72" s="198" t="s">
        <v>3</v>
      </c>
      <c r="M72" s="198"/>
      <c r="N72" s="181" t="str">
        <f>N39</f>
        <v>с 7-11 лет;12 и старше</v>
      </c>
      <c r="O72" s="181"/>
      <c r="P72" s="181"/>
      <c r="Q72" s="181"/>
      <c r="R72" s="181"/>
      <c r="S72" s="181"/>
      <c r="T72" s="181"/>
      <c r="U72" s="10"/>
      <c r="V72" s="16"/>
      <c r="W72" s="16"/>
      <c r="X72" s="16"/>
    </row>
    <row r="73" spans="1:24" s="1" customFormat="1" ht="21.75" customHeight="1" x14ac:dyDescent="0.2">
      <c r="A73" s="201" t="s">
        <v>4</v>
      </c>
      <c r="B73" s="201" t="s">
        <v>5</v>
      </c>
      <c r="C73" s="201"/>
      <c r="D73" s="201" t="s">
        <v>6</v>
      </c>
      <c r="E73" s="149"/>
      <c r="F73" s="233" t="s">
        <v>7</v>
      </c>
      <c r="G73" s="233"/>
      <c r="H73" s="233"/>
      <c r="I73" s="201" t="s">
        <v>8</v>
      </c>
      <c r="J73" s="233" t="s">
        <v>9</v>
      </c>
      <c r="K73" s="233"/>
      <c r="L73" s="233"/>
      <c r="M73" s="233"/>
      <c r="N73" s="233"/>
      <c r="O73" s="233" t="s">
        <v>10</v>
      </c>
      <c r="P73" s="233"/>
      <c r="Q73" s="233"/>
      <c r="R73" s="233"/>
      <c r="S73" s="233"/>
      <c r="T73" s="233"/>
      <c r="U73" s="4"/>
      <c r="V73" s="17"/>
      <c r="W73" s="17"/>
      <c r="X73" s="17"/>
    </row>
    <row r="74" spans="1:24" s="1" customFormat="1" ht="21" customHeight="1" x14ac:dyDescent="0.2">
      <c r="A74" s="202"/>
      <c r="B74" s="184"/>
      <c r="C74" s="185"/>
      <c r="D74" s="202"/>
      <c r="E74" s="88"/>
      <c r="F74" s="89" t="s">
        <v>11</v>
      </c>
      <c r="G74" s="90" t="s">
        <v>12</v>
      </c>
      <c r="H74" s="90" t="s">
        <v>13</v>
      </c>
      <c r="I74" s="202"/>
      <c r="J74" s="90" t="s">
        <v>14</v>
      </c>
      <c r="K74" s="90" t="s">
        <v>50</v>
      </c>
      <c r="L74" s="90" t="s">
        <v>15</v>
      </c>
      <c r="M74" s="90" t="s">
        <v>16</v>
      </c>
      <c r="N74" s="90" t="s">
        <v>17</v>
      </c>
      <c r="O74" s="90" t="s">
        <v>18</v>
      </c>
      <c r="P74" s="90" t="s">
        <v>19</v>
      </c>
      <c r="Q74" s="90" t="s">
        <v>51</v>
      </c>
      <c r="R74" s="90" t="s">
        <v>52</v>
      </c>
      <c r="S74" s="90" t="s">
        <v>20</v>
      </c>
      <c r="T74" s="90" t="s">
        <v>21</v>
      </c>
      <c r="U74" s="4"/>
      <c r="V74" s="17"/>
      <c r="W74" s="17"/>
      <c r="X74" s="17"/>
    </row>
    <row r="75" spans="1:24" s="1" customFormat="1" ht="11.25" customHeight="1" x14ac:dyDescent="0.2">
      <c r="A75" s="91">
        <v>1</v>
      </c>
      <c r="B75" s="214">
        <v>2</v>
      </c>
      <c r="C75" s="214"/>
      <c r="D75" s="92">
        <v>3</v>
      </c>
      <c r="E75" s="92"/>
      <c r="F75" s="93">
        <v>4</v>
      </c>
      <c r="G75" s="92">
        <v>5</v>
      </c>
      <c r="H75" s="92">
        <v>6</v>
      </c>
      <c r="I75" s="92">
        <v>7</v>
      </c>
      <c r="J75" s="92">
        <v>8</v>
      </c>
      <c r="K75" s="92">
        <v>9</v>
      </c>
      <c r="L75" s="92">
        <v>10</v>
      </c>
      <c r="M75" s="92">
        <v>11</v>
      </c>
      <c r="N75" s="92">
        <v>12</v>
      </c>
      <c r="O75" s="92">
        <v>13</v>
      </c>
      <c r="P75" s="92">
        <v>14</v>
      </c>
      <c r="Q75" s="92">
        <v>15</v>
      </c>
      <c r="R75" s="92">
        <v>16</v>
      </c>
      <c r="S75" s="92">
        <v>17</v>
      </c>
      <c r="T75" s="92">
        <v>18</v>
      </c>
      <c r="U75" s="5"/>
      <c r="V75" s="18"/>
      <c r="W75" s="18"/>
      <c r="X75" s="18"/>
    </row>
    <row r="76" spans="1:24" s="1" customFormat="1" ht="11.25" customHeight="1" x14ac:dyDescent="0.2">
      <c r="A76" s="222" t="s">
        <v>81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4"/>
      <c r="U76" s="6"/>
      <c r="V76" s="19"/>
      <c r="W76" s="19"/>
      <c r="X76" s="19"/>
    </row>
    <row r="77" spans="1:24" s="60" customFormat="1" ht="25.5" customHeight="1" x14ac:dyDescent="0.2">
      <c r="A77" s="91" t="s">
        <v>58</v>
      </c>
      <c r="B77" s="193" t="s">
        <v>99</v>
      </c>
      <c r="C77" s="194"/>
      <c r="D77" s="99">
        <v>165</v>
      </c>
      <c r="E77" s="100">
        <v>41.3</v>
      </c>
      <c r="F77" s="100">
        <v>3.6</v>
      </c>
      <c r="G77" s="100">
        <v>6</v>
      </c>
      <c r="H77" s="100">
        <v>54</v>
      </c>
      <c r="I77" s="100">
        <v>288</v>
      </c>
      <c r="J77" s="103">
        <v>7.0000000000000007E-2</v>
      </c>
      <c r="K77" s="103">
        <v>0.16</v>
      </c>
      <c r="L77" s="100">
        <v>0.19</v>
      </c>
      <c r="M77" s="100">
        <v>0.02</v>
      </c>
      <c r="N77" s="101">
        <v>1.1639999999999999</v>
      </c>
      <c r="O77" s="100">
        <v>0.19</v>
      </c>
      <c r="P77" s="100">
        <v>149.1</v>
      </c>
      <c r="Q77" s="100">
        <v>0.81</v>
      </c>
      <c r="R77" s="100">
        <v>0.02</v>
      </c>
      <c r="S77" s="100">
        <v>12.93</v>
      </c>
      <c r="T77" s="100">
        <v>0.91</v>
      </c>
      <c r="U77" s="58"/>
      <c r="V77" s="59"/>
      <c r="W77" s="59"/>
      <c r="X77" s="59"/>
    </row>
    <row r="78" spans="1:24" s="60" customFormat="1" ht="12.75" customHeight="1" x14ac:dyDescent="0.2">
      <c r="A78" s="138">
        <v>3</v>
      </c>
      <c r="B78" s="205" t="s">
        <v>92</v>
      </c>
      <c r="C78" s="205"/>
      <c r="D78" s="126">
        <v>38</v>
      </c>
      <c r="E78" s="127">
        <v>10.42</v>
      </c>
      <c r="F78" s="127">
        <v>6.45</v>
      </c>
      <c r="G78" s="150">
        <v>7.27</v>
      </c>
      <c r="H78" s="127">
        <v>17.77</v>
      </c>
      <c r="I78" s="127">
        <v>162.25</v>
      </c>
      <c r="J78" s="127">
        <v>0.04</v>
      </c>
      <c r="K78" s="127">
        <v>0.02</v>
      </c>
      <c r="L78" s="126">
        <v>10</v>
      </c>
      <c r="M78" s="126">
        <v>0.02</v>
      </c>
      <c r="N78" s="127">
        <v>0.2</v>
      </c>
      <c r="O78" s="127">
        <v>16</v>
      </c>
      <c r="P78" s="127">
        <v>11</v>
      </c>
      <c r="Q78" s="126">
        <v>0.03</v>
      </c>
      <c r="R78" s="126">
        <v>2E-3</v>
      </c>
      <c r="S78" s="127">
        <v>9</v>
      </c>
      <c r="T78" s="127">
        <v>2.2000000000000002</v>
      </c>
      <c r="U78" s="71"/>
      <c r="V78" s="71"/>
      <c r="W78" s="71"/>
      <c r="X78" s="71"/>
    </row>
    <row r="79" spans="1:24" s="60" customFormat="1" ht="12.75" customHeight="1" x14ac:dyDescent="0.2">
      <c r="A79" s="91">
        <v>377</v>
      </c>
      <c r="B79" s="210" t="s">
        <v>41</v>
      </c>
      <c r="C79" s="210"/>
      <c r="D79" s="99">
        <v>200</v>
      </c>
      <c r="E79" s="100">
        <v>3.81</v>
      </c>
      <c r="F79" s="100">
        <v>0.26</v>
      </c>
      <c r="G79" s="100">
        <v>0.06</v>
      </c>
      <c r="H79" s="100">
        <v>15.22</v>
      </c>
      <c r="I79" s="100">
        <f>F79*4+G79*9+H79*4</f>
        <v>62.46</v>
      </c>
      <c r="J79" s="100"/>
      <c r="K79" s="100">
        <v>0.01</v>
      </c>
      <c r="L79" s="100">
        <v>2.9</v>
      </c>
      <c r="M79" s="101">
        <v>0</v>
      </c>
      <c r="N79" s="100">
        <v>0.06</v>
      </c>
      <c r="O79" s="100">
        <v>8.0500000000000007</v>
      </c>
      <c r="P79" s="100">
        <v>9.7799999999999994</v>
      </c>
      <c r="Q79" s="100">
        <v>1.7000000000000001E-2</v>
      </c>
      <c r="R79" s="103">
        <v>0</v>
      </c>
      <c r="S79" s="100">
        <v>5.24</v>
      </c>
      <c r="T79" s="100">
        <v>0.87</v>
      </c>
      <c r="U79" s="58"/>
      <c r="V79" s="176"/>
      <c r="W79" s="176"/>
      <c r="X79" s="176"/>
    </row>
    <row r="80" spans="1:24" s="60" customFormat="1" ht="22.5" customHeight="1" x14ac:dyDescent="0.2">
      <c r="A80" s="151">
        <v>338</v>
      </c>
      <c r="B80" s="210" t="s">
        <v>76</v>
      </c>
      <c r="C80" s="210"/>
      <c r="D80" s="99">
        <v>135</v>
      </c>
      <c r="E80" s="100">
        <v>17.47</v>
      </c>
      <c r="F80" s="100">
        <v>1.5</v>
      </c>
      <c r="G80" s="100">
        <v>0.5</v>
      </c>
      <c r="H80" s="100">
        <v>2.1</v>
      </c>
      <c r="I80" s="100">
        <v>94.5</v>
      </c>
      <c r="J80" s="100">
        <v>0.04</v>
      </c>
      <c r="K80" s="100">
        <v>0.02</v>
      </c>
      <c r="L80" s="99">
        <v>10</v>
      </c>
      <c r="M80" s="99">
        <v>0.02</v>
      </c>
      <c r="N80" s="100">
        <v>0.2</v>
      </c>
      <c r="O80" s="100">
        <v>16</v>
      </c>
      <c r="P80" s="100">
        <v>11</v>
      </c>
      <c r="Q80" s="99">
        <v>0.03</v>
      </c>
      <c r="R80" s="99">
        <v>2E-3</v>
      </c>
      <c r="S80" s="100">
        <v>9</v>
      </c>
      <c r="T80" s="100">
        <v>2.2000000000000002</v>
      </c>
      <c r="U80" s="58"/>
      <c r="V80" s="176"/>
      <c r="W80" s="176"/>
      <c r="X80" s="176"/>
    </row>
    <row r="81" spans="1:24" s="44" customFormat="1" ht="12" customHeight="1" x14ac:dyDescent="0.2">
      <c r="A81" s="108" t="s">
        <v>82</v>
      </c>
      <c r="B81" s="109"/>
      <c r="C81" s="109"/>
      <c r="D81" s="152">
        <f t="shared" ref="D81:T81" si="19">SUM(D77:D80)</f>
        <v>538</v>
      </c>
      <c r="E81" s="111">
        <f t="shared" si="19"/>
        <v>73</v>
      </c>
      <c r="F81" s="121">
        <f t="shared" si="19"/>
        <v>11.81</v>
      </c>
      <c r="G81" s="122">
        <f t="shared" si="19"/>
        <v>13.83</v>
      </c>
      <c r="H81" s="122">
        <f t="shared" si="19"/>
        <v>89.089999999999989</v>
      </c>
      <c r="I81" s="122">
        <f t="shared" si="19"/>
        <v>607.21</v>
      </c>
      <c r="J81" s="121">
        <f t="shared" si="19"/>
        <v>0.15000000000000002</v>
      </c>
      <c r="K81" s="121">
        <f t="shared" si="19"/>
        <v>0.21</v>
      </c>
      <c r="L81" s="121">
        <f t="shared" si="19"/>
        <v>23.09</v>
      </c>
      <c r="M81" s="121">
        <f t="shared" si="19"/>
        <v>0.06</v>
      </c>
      <c r="N81" s="121">
        <f t="shared" si="19"/>
        <v>1.6239999999999999</v>
      </c>
      <c r="O81" s="121">
        <f t="shared" si="19"/>
        <v>40.24</v>
      </c>
      <c r="P81" s="121">
        <f t="shared" si="19"/>
        <v>180.88</v>
      </c>
      <c r="Q81" s="124">
        <f t="shared" si="19"/>
        <v>0.88700000000000012</v>
      </c>
      <c r="R81" s="124">
        <f t="shared" si="19"/>
        <v>2.4E-2</v>
      </c>
      <c r="S81" s="122">
        <f t="shared" si="19"/>
        <v>36.17</v>
      </c>
      <c r="T81" s="121">
        <f t="shared" si="19"/>
        <v>6.1800000000000006</v>
      </c>
      <c r="U81" s="23"/>
      <c r="V81" s="46"/>
      <c r="W81" s="46"/>
      <c r="X81" s="46"/>
    </row>
    <row r="82" spans="1:24" s="44" customFormat="1" ht="12" customHeight="1" x14ac:dyDescent="0.2">
      <c r="A82" s="186" t="s">
        <v>55</v>
      </c>
      <c r="B82" s="187"/>
      <c r="C82" s="187"/>
      <c r="D82" s="188"/>
      <c r="E82" s="153"/>
      <c r="F82" s="154">
        <f t="shared" ref="F82:T82" si="20">F81/F99</f>
        <v>0.13122222222222224</v>
      </c>
      <c r="G82" s="155">
        <f t="shared" si="20"/>
        <v>0.15032608695652175</v>
      </c>
      <c r="H82" s="155">
        <f t="shared" si="20"/>
        <v>0.23261096605744122</v>
      </c>
      <c r="I82" s="155">
        <f t="shared" si="20"/>
        <v>0.2232389705882353</v>
      </c>
      <c r="J82" s="155">
        <f t="shared" si="20"/>
        <v>0.10714285714285716</v>
      </c>
      <c r="K82" s="155">
        <f t="shared" si="20"/>
        <v>0.13124999999999998</v>
      </c>
      <c r="L82" s="155">
        <f t="shared" si="20"/>
        <v>0.32985714285714285</v>
      </c>
      <c r="M82" s="155">
        <f t="shared" si="20"/>
        <v>6.6666666666666666E-2</v>
      </c>
      <c r="N82" s="155">
        <f t="shared" si="20"/>
        <v>0.13533333333333333</v>
      </c>
      <c r="O82" s="155">
        <f t="shared" si="20"/>
        <v>3.3533333333333332E-2</v>
      </c>
      <c r="P82" s="155">
        <f t="shared" si="20"/>
        <v>0.15073333333333333</v>
      </c>
      <c r="Q82" s="155">
        <f t="shared" si="20"/>
        <v>6.3357142857142862E-2</v>
      </c>
      <c r="R82" s="155">
        <f t="shared" si="20"/>
        <v>0.24</v>
      </c>
      <c r="S82" s="155">
        <f t="shared" si="20"/>
        <v>0.12056666666666667</v>
      </c>
      <c r="T82" s="155">
        <f t="shared" si="20"/>
        <v>0.34333333333333338</v>
      </c>
      <c r="U82" s="47"/>
      <c r="V82" s="46"/>
      <c r="W82" s="46"/>
      <c r="X82" s="46"/>
    </row>
    <row r="83" spans="1:24" s="44" customFormat="1" ht="12" customHeight="1" x14ac:dyDescent="0.2">
      <c r="A83" s="156" t="s">
        <v>63</v>
      </c>
      <c r="B83" s="157"/>
      <c r="C83" s="157"/>
      <c r="D83" s="158"/>
      <c r="E83" s="158"/>
      <c r="F83" s="159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47"/>
      <c r="V83" s="46"/>
      <c r="W83" s="46"/>
      <c r="X83" s="46"/>
    </row>
    <row r="84" spans="1:24" s="44" customFormat="1" ht="10.5" customHeight="1" x14ac:dyDescent="0.2">
      <c r="A84" s="222" t="s">
        <v>24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4"/>
      <c r="U84" s="6"/>
      <c r="V84" s="19"/>
      <c r="W84" s="19"/>
      <c r="X84" s="19"/>
    </row>
    <row r="85" spans="1:24" s="60" customFormat="1" ht="20.25" customHeight="1" x14ac:dyDescent="0.2">
      <c r="A85" s="94">
        <v>54</v>
      </c>
      <c r="B85" s="193" t="s">
        <v>107</v>
      </c>
      <c r="C85" s="194"/>
      <c r="D85" s="95">
        <v>60</v>
      </c>
      <c r="E85" s="95">
        <v>20.39</v>
      </c>
      <c r="F85" s="96">
        <v>3.44</v>
      </c>
      <c r="G85" s="96">
        <v>0.23</v>
      </c>
      <c r="H85" s="96">
        <v>3.5</v>
      </c>
      <c r="I85" s="96">
        <v>27.8</v>
      </c>
      <c r="J85" s="97">
        <v>0</v>
      </c>
      <c r="K85" s="96">
        <v>0.01</v>
      </c>
      <c r="L85" s="98">
        <v>3.7</v>
      </c>
      <c r="M85" s="97">
        <v>64.599999999999994</v>
      </c>
      <c r="N85" s="95">
        <v>0</v>
      </c>
      <c r="O85" s="96">
        <v>9.6</v>
      </c>
      <c r="P85" s="96">
        <v>40.24</v>
      </c>
      <c r="Q85" s="97">
        <v>0</v>
      </c>
      <c r="R85" s="97">
        <v>2.4E-2</v>
      </c>
      <c r="S85" s="96">
        <v>91</v>
      </c>
      <c r="T85" s="96">
        <v>2.4E-2</v>
      </c>
      <c r="U85" s="62"/>
      <c r="V85" s="63"/>
      <c r="W85" s="63"/>
      <c r="X85" s="63"/>
    </row>
    <row r="86" spans="1:24" s="60" customFormat="1" ht="22.5" customHeight="1" x14ac:dyDescent="0.2">
      <c r="A86" s="102">
        <v>108</v>
      </c>
      <c r="B86" s="193" t="s">
        <v>75</v>
      </c>
      <c r="C86" s="194"/>
      <c r="D86" s="101">
        <v>250</v>
      </c>
      <c r="E86" s="100">
        <v>9.9700000000000006</v>
      </c>
      <c r="F86" s="100">
        <v>3.15</v>
      </c>
      <c r="G86" s="103">
        <v>3.55</v>
      </c>
      <c r="H86" s="103">
        <v>20.837499999999999</v>
      </c>
      <c r="I86" s="100">
        <v>127.89999999999999</v>
      </c>
      <c r="J86" s="103">
        <v>8.7499999999999994E-2</v>
      </c>
      <c r="K86" s="103">
        <v>7.4999999999999997E-2</v>
      </c>
      <c r="L86" s="103">
        <v>11.3125</v>
      </c>
      <c r="M86" s="103">
        <v>0.59</v>
      </c>
      <c r="N86" s="103">
        <v>0.875</v>
      </c>
      <c r="O86" s="103">
        <v>25.737500000000001</v>
      </c>
      <c r="P86" s="103">
        <v>60.237499999999997</v>
      </c>
      <c r="Q86" s="103">
        <v>0.25</v>
      </c>
      <c r="R86" s="103">
        <v>1.25E-3</v>
      </c>
      <c r="S86" s="103">
        <v>18.2</v>
      </c>
      <c r="T86" s="103">
        <v>0.92500000000000004</v>
      </c>
      <c r="U86" s="58"/>
      <c r="V86" s="59"/>
      <c r="W86" s="59"/>
      <c r="X86" s="59"/>
    </row>
    <row r="87" spans="1:24" s="60" customFormat="1" ht="12.75" customHeight="1" x14ac:dyDescent="0.2">
      <c r="A87" s="91">
        <v>259</v>
      </c>
      <c r="B87" s="193" t="s">
        <v>46</v>
      </c>
      <c r="C87" s="194"/>
      <c r="D87" s="99">
        <v>220</v>
      </c>
      <c r="E87" s="100">
        <v>53.43</v>
      </c>
      <c r="F87" s="100">
        <v>15.69</v>
      </c>
      <c r="G87" s="100">
        <v>16.510000000000002</v>
      </c>
      <c r="H87" s="100">
        <v>28.06</v>
      </c>
      <c r="I87" s="100">
        <v>323.63</v>
      </c>
      <c r="J87" s="100">
        <v>0.24</v>
      </c>
      <c r="K87" s="100">
        <v>0.22</v>
      </c>
      <c r="L87" s="100">
        <v>34.43</v>
      </c>
      <c r="M87" s="103">
        <v>0.06</v>
      </c>
      <c r="N87" s="101">
        <v>0.38</v>
      </c>
      <c r="O87" s="100">
        <v>46.42</v>
      </c>
      <c r="P87" s="116">
        <v>239.99</v>
      </c>
      <c r="Q87" s="116">
        <v>3.85</v>
      </c>
      <c r="R87" s="103">
        <v>2E-3</v>
      </c>
      <c r="S87" s="100">
        <v>61.45</v>
      </c>
      <c r="T87" s="100">
        <v>3.65</v>
      </c>
      <c r="U87" s="58"/>
      <c r="V87" s="59"/>
      <c r="W87" s="59"/>
      <c r="X87" s="59"/>
    </row>
    <row r="88" spans="1:24" s="60" customFormat="1" ht="12" customHeight="1" x14ac:dyDescent="0.2">
      <c r="A88" s="102">
        <v>349</v>
      </c>
      <c r="B88" s="193" t="s">
        <v>70</v>
      </c>
      <c r="C88" s="194"/>
      <c r="D88" s="99">
        <v>200</v>
      </c>
      <c r="E88" s="100">
        <v>5.61</v>
      </c>
      <c r="F88" s="100">
        <v>0.22</v>
      </c>
      <c r="G88" s="101">
        <v>0</v>
      </c>
      <c r="H88" s="100">
        <v>24.42</v>
      </c>
      <c r="I88" s="100">
        <v>98.56</v>
      </c>
      <c r="J88" s="101">
        <v>0</v>
      </c>
      <c r="K88" s="101">
        <v>0</v>
      </c>
      <c r="L88" s="100">
        <v>26.11</v>
      </c>
      <c r="M88" s="101">
        <v>0</v>
      </c>
      <c r="N88" s="101">
        <v>0</v>
      </c>
      <c r="O88" s="116">
        <v>22.6</v>
      </c>
      <c r="P88" s="116">
        <v>7.7</v>
      </c>
      <c r="Q88" s="99">
        <v>0</v>
      </c>
      <c r="R88" s="99">
        <v>0</v>
      </c>
      <c r="S88" s="116">
        <v>3</v>
      </c>
      <c r="T88" s="100">
        <v>0.66</v>
      </c>
      <c r="U88" s="58"/>
      <c r="V88" s="59"/>
      <c r="W88" s="59"/>
      <c r="X88" s="59"/>
    </row>
    <row r="89" spans="1:24" s="60" customFormat="1" ht="11.25" customHeight="1" x14ac:dyDescent="0.2">
      <c r="A89" s="120" t="s">
        <v>58</v>
      </c>
      <c r="B89" s="193" t="s">
        <v>42</v>
      </c>
      <c r="C89" s="194"/>
      <c r="D89" s="99">
        <v>40</v>
      </c>
      <c r="E89" s="100">
        <v>2.08</v>
      </c>
      <c r="F89" s="100">
        <f>2.64*D89/40</f>
        <v>2.64</v>
      </c>
      <c r="G89" s="100">
        <f>0.48*D89/40</f>
        <v>0.48</v>
      </c>
      <c r="H89" s="100">
        <f>13.68*D89/40</f>
        <v>13.680000000000001</v>
      </c>
      <c r="I89" s="116">
        <f>F89*4+G89*9+H89*4</f>
        <v>69.600000000000009</v>
      </c>
      <c r="J89" s="101">
        <f>0.08*D89/40</f>
        <v>0.08</v>
      </c>
      <c r="K89" s="100">
        <f>0.04*D89/40</f>
        <v>0.04</v>
      </c>
      <c r="L89" s="99">
        <v>0</v>
      </c>
      <c r="M89" s="99">
        <v>0</v>
      </c>
      <c r="N89" s="100">
        <f>2.4*D89/40</f>
        <v>2.4</v>
      </c>
      <c r="O89" s="100">
        <f>14*D89/40</f>
        <v>14</v>
      </c>
      <c r="P89" s="100">
        <f>63.2*D89/40</f>
        <v>63.2</v>
      </c>
      <c r="Q89" s="100">
        <f>1.2*D89/40</f>
        <v>1.2</v>
      </c>
      <c r="R89" s="103">
        <f>0.001*D89/40</f>
        <v>1E-3</v>
      </c>
      <c r="S89" s="100">
        <f>9.4*D89/40</f>
        <v>9.4</v>
      </c>
      <c r="T89" s="101">
        <f>0.78*D89/40</f>
        <v>0.78</v>
      </c>
      <c r="U89" s="66"/>
      <c r="V89" s="67"/>
      <c r="W89" s="67"/>
      <c r="X89" s="67"/>
    </row>
    <row r="90" spans="1:24" s="60" customFormat="1" ht="11.25" customHeight="1" x14ac:dyDescent="0.2">
      <c r="A90" s="102" t="s">
        <v>58</v>
      </c>
      <c r="B90" s="193" t="s">
        <v>47</v>
      </c>
      <c r="C90" s="194"/>
      <c r="D90" s="99">
        <v>30</v>
      </c>
      <c r="E90" s="100">
        <v>2.52</v>
      </c>
      <c r="F90" s="100">
        <f>1.52*D90/30</f>
        <v>1.52</v>
      </c>
      <c r="G90" s="103">
        <f>0.16*D90/30</f>
        <v>0.16</v>
      </c>
      <c r="H90" s="103">
        <f>9.84*D90/30</f>
        <v>9.84</v>
      </c>
      <c r="I90" s="103">
        <f>F90*4+G90*9+H90*4</f>
        <v>46.879999999999995</v>
      </c>
      <c r="J90" s="103">
        <f>0.02*D90/30</f>
        <v>0.02</v>
      </c>
      <c r="K90" s="103">
        <f>0.01*D90/30</f>
        <v>0.01</v>
      </c>
      <c r="L90" s="103">
        <f>0.44*D90/30</f>
        <v>0.44</v>
      </c>
      <c r="M90" s="103">
        <v>0</v>
      </c>
      <c r="N90" s="103">
        <f>0.7*D90/30</f>
        <v>0.7</v>
      </c>
      <c r="O90" s="103">
        <f>4*D90/30</f>
        <v>4</v>
      </c>
      <c r="P90" s="103">
        <f>13*D90/30</f>
        <v>13</v>
      </c>
      <c r="Q90" s="103">
        <f>0.008*D90/30</f>
        <v>8.0000000000000002E-3</v>
      </c>
      <c r="R90" s="103">
        <f>0.001*D90/30</f>
        <v>1E-3</v>
      </c>
      <c r="S90" s="103">
        <v>0</v>
      </c>
      <c r="T90" s="103">
        <f>0.22*D90/30</f>
        <v>0.22</v>
      </c>
      <c r="U90" s="58"/>
      <c r="V90" s="59"/>
      <c r="W90" s="59"/>
      <c r="X90" s="59"/>
    </row>
    <row r="91" spans="1:24" s="44" customFormat="1" ht="11.25" customHeight="1" x14ac:dyDescent="0.2">
      <c r="A91" s="108" t="s">
        <v>25</v>
      </c>
      <c r="B91" s="109"/>
      <c r="C91" s="109"/>
      <c r="D91" s="110">
        <f t="shared" ref="D91:T91" si="21">SUM(D85:D90)</f>
        <v>800</v>
      </c>
      <c r="E91" s="111">
        <f t="shared" si="21"/>
        <v>93.999999999999986</v>
      </c>
      <c r="F91" s="121">
        <f t="shared" si="21"/>
        <v>26.66</v>
      </c>
      <c r="G91" s="121">
        <f t="shared" si="21"/>
        <v>20.930000000000003</v>
      </c>
      <c r="H91" s="121">
        <f t="shared" si="21"/>
        <v>100.33750000000001</v>
      </c>
      <c r="I91" s="121">
        <f t="shared" si="21"/>
        <v>694.37</v>
      </c>
      <c r="J91" s="121">
        <f t="shared" si="21"/>
        <v>0.42750000000000005</v>
      </c>
      <c r="K91" s="121">
        <f t="shared" si="21"/>
        <v>0.35499999999999998</v>
      </c>
      <c r="L91" s="121">
        <f t="shared" si="21"/>
        <v>75.992499999999993</v>
      </c>
      <c r="M91" s="121">
        <f t="shared" si="21"/>
        <v>65.25</v>
      </c>
      <c r="N91" s="121">
        <f t="shared" si="21"/>
        <v>4.3549999999999995</v>
      </c>
      <c r="O91" s="121">
        <f t="shared" si="21"/>
        <v>122.35749999999999</v>
      </c>
      <c r="P91" s="121">
        <f t="shared" si="21"/>
        <v>424.36749999999995</v>
      </c>
      <c r="Q91" s="121">
        <f t="shared" si="21"/>
        <v>5.3079999999999998</v>
      </c>
      <c r="R91" s="121">
        <f t="shared" si="21"/>
        <v>2.9250000000000005E-2</v>
      </c>
      <c r="S91" s="121">
        <f t="shared" si="21"/>
        <v>183.05</v>
      </c>
      <c r="T91" s="121">
        <f t="shared" si="21"/>
        <v>6.2590000000000003</v>
      </c>
      <c r="U91" s="23"/>
      <c r="V91" s="46"/>
      <c r="W91" s="46"/>
      <c r="X91" s="46"/>
    </row>
    <row r="92" spans="1:24" s="44" customFormat="1" ht="11.25" customHeight="1" x14ac:dyDescent="0.2">
      <c r="A92" s="186" t="s">
        <v>55</v>
      </c>
      <c r="B92" s="187"/>
      <c r="C92" s="187"/>
      <c r="D92" s="188"/>
      <c r="E92" s="153"/>
      <c r="F92" s="154">
        <f t="shared" ref="F92:T92" si="22">F91/F99</f>
        <v>0.29622222222222222</v>
      </c>
      <c r="G92" s="160">
        <f t="shared" si="22"/>
        <v>0.22750000000000004</v>
      </c>
      <c r="H92" s="160">
        <f t="shared" si="22"/>
        <v>0.26197780678851179</v>
      </c>
      <c r="I92" s="160">
        <f t="shared" si="22"/>
        <v>0.25528308823529411</v>
      </c>
      <c r="J92" s="160">
        <f t="shared" si="22"/>
        <v>0.30535714285714288</v>
      </c>
      <c r="K92" s="160">
        <f t="shared" si="22"/>
        <v>0.22187499999999999</v>
      </c>
      <c r="L92" s="160">
        <f t="shared" si="22"/>
        <v>1.0856071428571428</v>
      </c>
      <c r="M92" s="160">
        <f t="shared" si="22"/>
        <v>72.5</v>
      </c>
      <c r="N92" s="160">
        <f t="shared" si="22"/>
        <v>0.36291666666666661</v>
      </c>
      <c r="O92" s="160">
        <f t="shared" si="22"/>
        <v>0.10196458333333332</v>
      </c>
      <c r="P92" s="160">
        <f t="shared" si="22"/>
        <v>0.35363958333333328</v>
      </c>
      <c r="Q92" s="160">
        <f t="shared" si="22"/>
        <v>0.37914285714285711</v>
      </c>
      <c r="R92" s="160">
        <f t="shared" si="22"/>
        <v>0.29250000000000004</v>
      </c>
      <c r="S92" s="160">
        <f t="shared" si="22"/>
        <v>0.61016666666666675</v>
      </c>
      <c r="T92" s="160">
        <f t="shared" si="22"/>
        <v>0.34772222222222227</v>
      </c>
      <c r="U92" s="47"/>
      <c r="V92" s="46"/>
      <c r="W92" s="46"/>
      <c r="X92" s="46"/>
    </row>
    <row r="93" spans="1:24" s="44" customFormat="1" ht="11.25" customHeight="1" x14ac:dyDescent="0.2">
      <c r="A93" s="222" t="s">
        <v>26</v>
      </c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4"/>
      <c r="U93" s="6"/>
      <c r="V93" s="19"/>
      <c r="W93" s="19"/>
      <c r="X93" s="19"/>
    </row>
    <row r="94" spans="1:24" s="42" customFormat="1" ht="12" customHeight="1" x14ac:dyDescent="0.2">
      <c r="A94" s="125"/>
      <c r="B94" s="205"/>
      <c r="C94" s="205"/>
      <c r="D94" s="126"/>
      <c r="E94" s="127"/>
      <c r="F94" s="127"/>
      <c r="G94" s="130"/>
      <c r="H94" s="130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</row>
    <row r="95" spans="1:24" s="44" customFormat="1" ht="21.75" customHeight="1" x14ac:dyDescent="0.2">
      <c r="A95" s="102"/>
      <c r="B95" s="193"/>
      <c r="C95" s="194"/>
      <c r="D95" s="99"/>
      <c r="E95" s="100"/>
      <c r="F95" s="100"/>
      <c r="G95" s="101"/>
      <c r="H95" s="100"/>
      <c r="I95" s="100"/>
      <c r="J95" s="101"/>
      <c r="K95" s="101"/>
      <c r="L95" s="100"/>
      <c r="M95" s="101"/>
      <c r="N95" s="101"/>
      <c r="O95" s="116"/>
      <c r="P95" s="116"/>
      <c r="Q95" s="99"/>
      <c r="R95" s="99"/>
      <c r="S95" s="116"/>
      <c r="T95" s="100"/>
      <c r="U95" s="48"/>
      <c r="V95" s="49"/>
      <c r="W95" s="49"/>
      <c r="X95" s="49"/>
    </row>
    <row r="96" spans="1:24" s="1" customFormat="1" ht="11.25" customHeight="1" x14ac:dyDescent="0.2">
      <c r="A96" s="108" t="s">
        <v>27</v>
      </c>
      <c r="B96" s="109"/>
      <c r="C96" s="109"/>
      <c r="D96" s="110">
        <f t="shared" ref="D96:T96" si="23">SUM(D94:D95)</f>
        <v>0</v>
      </c>
      <c r="E96" s="111">
        <f t="shared" si="23"/>
        <v>0</v>
      </c>
      <c r="F96" s="121">
        <f t="shared" si="23"/>
        <v>0</v>
      </c>
      <c r="G96" s="122">
        <f t="shared" si="23"/>
        <v>0</v>
      </c>
      <c r="H96" s="122">
        <f t="shared" si="23"/>
        <v>0</v>
      </c>
      <c r="I96" s="122">
        <f t="shared" si="23"/>
        <v>0</v>
      </c>
      <c r="J96" s="122">
        <f t="shared" si="23"/>
        <v>0</v>
      </c>
      <c r="K96" s="122">
        <f t="shared" si="23"/>
        <v>0</v>
      </c>
      <c r="L96" s="122">
        <f t="shared" si="23"/>
        <v>0</v>
      </c>
      <c r="M96" s="122">
        <f t="shared" si="23"/>
        <v>0</v>
      </c>
      <c r="N96" s="122">
        <f t="shared" si="23"/>
        <v>0</v>
      </c>
      <c r="O96" s="122">
        <f t="shared" si="23"/>
        <v>0</v>
      </c>
      <c r="P96" s="122">
        <f t="shared" si="23"/>
        <v>0</v>
      </c>
      <c r="Q96" s="122">
        <f t="shared" si="23"/>
        <v>0</v>
      </c>
      <c r="R96" s="122">
        <f t="shared" si="23"/>
        <v>0</v>
      </c>
      <c r="S96" s="122">
        <f t="shared" si="23"/>
        <v>0</v>
      </c>
      <c r="T96" s="122">
        <f t="shared" si="23"/>
        <v>0</v>
      </c>
      <c r="U96" s="23"/>
      <c r="V96" s="46"/>
      <c r="W96" s="46"/>
      <c r="X96" s="46"/>
    </row>
    <row r="97" spans="1:25" s="1" customFormat="1" ht="11.25" customHeight="1" x14ac:dyDescent="0.2">
      <c r="A97" s="186" t="s">
        <v>55</v>
      </c>
      <c r="B97" s="187"/>
      <c r="C97" s="187"/>
      <c r="D97" s="188"/>
      <c r="E97" s="153"/>
      <c r="F97" s="154">
        <f>F96/F99</f>
        <v>0</v>
      </c>
      <c r="G97" s="161">
        <f t="shared" ref="G97:T97" si="24">G96/G99</f>
        <v>0</v>
      </c>
      <c r="H97" s="161">
        <f t="shared" si="24"/>
        <v>0</v>
      </c>
      <c r="I97" s="161">
        <f t="shared" si="24"/>
        <v>0</v>
      </c>
      <c r="J97" s="161">
        <f t="shared" si="24"/>
        <v>0</v>
      </c>
      <c r="K97" s="161">
        <f t="shared" si="24"/>
        <v>0</v>
      </c>
      <c r="L97" s="161">
        <f t="shared" si="24"/>
        <v>0</v>
      </c>
      <c r="M97" s="161">
        <f t="shared" si="24"/>
        <v>0</v>
      </c>
      <c r="N97" s="161">
        <f t="shared" si="24"/>
        <v>0</v>
      </c>
      <c r="O97" s="161">
        <f t="shared" si="24"/>
        <v>0</v>
      </c>
      <c r="P97" s="161">
        <f t="shared" si="24"/>
        <v>0</v>
      </c>
      <c r="Q97" s="161">
        <f t="shared" si="24"/>
        <v>0</v>
      </c>
      <c r="R97" s="161">
        <f t="shared" si="24"/>
        <v>0</v>
      </c>
      <c r="S97" s="161">
        <f t="shared" si="24"/>
        <v>0</v>
      </c>
      <c r="T97" s="161">
        <f t="shared" si="24"/>
        <v>0</v>
      </c>
      <c r="U97" s="33"/>
      <c r="V97" s="46"/>
      <c r="W97" s="46"/>
      <c r="X97" s="46"/>
    </row>
    <row r="98" spans="1:25" s="1" customFormat="1" ht="11.25" customHeight="1" x14ac:dyDescent="0.2">
      <c r="A98" s="108" t="s">
        <v>54</v>
      </c>
      <c r="B98" s="109"/>
      <c r="C98" s="109"/>
      <c r="D98" s="133">
        <f>D91+D81</f>
        <v>1338</v>
      </c>
      <c r="E98" s="134">
        <f>E91+E81</f>
        <v>167</v>
      </c>
      <c r="F98" s="121">
        <f t="shared" ref="F98:T98" si="25">SUM(F81,F91,F96)</f>
        <v>38.47</v>
      </c>
      <c r="G98" s="122">
        <f t="shared" si="25"/>
        <v>34.760000000000005</v>
      </c>
      <c r="H98" s="122">
        <f t="shared" si="25"/>
        <v>189.42750000000001</v>
      </c>
      <c r="I98" s="122">
        <f t="shared" si="25"/>
        <v>1301.58</v>
      </c>
      <c r="J98" s="121">
        <f t="shared" si="25"/>
        <v>0.57750000000000012</v>
      </c>
      <c r="K98" s="121">
        <f t="shared" si="25"/>
        <v>0.56499999999999995</v>
      </c>
      <c r="L98" s="123">
        <f t="shared" si="25"/>
        <v>99.082499999999996</v>
      </c>
      <c r="M98" s="121">
        <f t="shared" si="25"/>
        <v>65.31</v>
      </c>
      <c r="N98" s="123">
        <f t="shared" si="25"/>
        <v>5.9789999999999992</v>
      </c>
      <c r="O98" s="122">
        <f t="shared" si="25"/>
        <v>162.5975</v>
      </c>
      <c r="P98" s="121">
        <f t="shared" si="25"/>
        <v>605.24749999999995</v>
      </c>
      <c r="Q98" s="122">
        <f t="shared" si="25"/>
        <v>6.1950000000000003</v>
      </c>
      <c r="R98" s="124">
        <f t="shared" si="25"/>
        <v>5.3250000000000006E-2</v>
      </c>
      <c r="S98" s="121">
        <f t="shared" si="25"/>
        <v>219.22000000000003</v>
      </c>
      <c r="T98" s="121">
        <f t="shared" si="25"/>
        <v>12.439</v>
      </c>
      <c r="U98" s="29"/>
      <c r="V98" s="45"/>
      <c r="W98" s="45"/>
      <c r="X98" s="45"/>
    </row>
    <row r="99" spans="1:25" s="1" customFormat="1" ht="11.25" customHeight="1" x14ac:dyDescent="0.2">
      <c r="A99" s="186" t="s">
        <v>56</v>
      </c>
      <c r="B99" s="187"/>
      <c r="C99" s="187"/>
      <c r="D99" s="188"/>
      <c r="E99" s="135"/>
      <c r="F99" s="100">
        <v>90</v>
      </c>
      <c r="G99" s="116">
        <v>92</v>
      </c>
      <c r="H99" s="116">
        <v>383</v>
      </c>
      <c r="I99" s="116">
        <v>2720</v>
      </c>
      <c r="J99" s="100">
        <v>1.4</v>
      </c>
      <c r="K99" s="100">
        <v>1.6</v>
      </c>
      <c r="L99" s="99">
        <v>70</v>
      </c>
      <c r="M99" s="100">
        <v>0.9</v>
      </c>
      <c r="N99" s="99">
        <v>12</v>
      </c>
      <c r="O99" s="99">
        <v>1200</v>
      </c>
      <c r="P99" s="99">
        <v>1200</v>
      </c>
      <c r="Q99" s="99">
        <v>14</v>
      </c>
      <c r="R99" s="116">
        <v>0.1</v>
      </c>
      <c r="S99" s="99">
        <v>300</v>
      </c>
      <c r="T99" s="100">
        <v>18</v>
      </c>
      <c r="U99" s="48"/>
      <c r="V99" s="49"/>
      <c r="W99" s="49"/>
      <c r="X99" s="49"/>
    </row>
    <row r="100" spans="1:25" s="3" customFormat="1" ht="11.25" customHeight="1" x14ac:dyDescent="0.2">
      <c r="A100" s="206" t="s">
        <v>55</v>
      </c>
      <c r="B100" s="207"/>
      <c r="C100" s="207"/>
      <c r="D100" s="208"/>
      <c r="E100" s="132"/>
      <c r="F100" s="114">
        <f t="shared" ref="F100:T100" si="26">F98/F99</f>
        <v>0.4274444444444444</v>
      </c>
      <c r="G100" s="115">
        <f t="shared" si="26"/>
        <v>0.37782608695652181</v>
      </c>
      <c r="H100" s="115">
        <f t="shared" si="26"/>
        <v>0.49458877284595304</v>
      </c>
      <c r="I100" s="115">
        <f t="shared" si="26"/>
        <v>0.47852205882352938</v>
      </c>
      <c r="J100" s="115">
        <f t="shared" si="26"/>
        <v>0.41250000000000009</v>
      </c>
      <c r="K100" s="115">
        <f t="shared" si="26"/>
        <v>0.35312499999999997</v>
      </c>
      <c r="L100" s="115">
        <f t="shared" si="26"/>
        <v>1.4154642857142856</v>
      </c>
      <c r="M100" s="136">
        <f t="shared" si="26"/>
        <v>72.566666666666663</v>
      </c>
      <c r="N100" s="136">
        <f t="shared" si="26"/>
        <v>0.49824999999999992</v>
      </c>
      <c r="O100" s="115">
        <f t="shared" si="26"/>
        <v>0.13549791666666666</v>
      </c>
      <c r="P100" s="115">
        <f t="shared" si="26"/>
        <v>0.50437291666666662</v>
      </c>
      <c r="Q100" s="115">
        <f t="shared" si="26"/>
        <v>0.4425</v>
      </c>
      <c r="R100" s="136">
        <f t="shared" si="26"/>
        <v>0.53249999999999997</v>
      </c>
      <c r="S100" s="115">
        <f t="shared" si="26"/>
        <v>0.73073333333333346</v>
      </c>
      <c r="T100" s="115">
        <f t="shared" si="26"/>
        <v>0.69105555555555553</v>
      </c>
      <c r="U100" s="30"/>
      <c r="V100" s="31"/>
      <c r="W100" s="31"/>
      <c r="X100" s="31"/>
    </row>
    <row r="101" spans="1:25" s="1" customFormat="1" ht="11.25" customHeight="1" x14ac:dyDescent="0.2">
      <c r="A101" s="209" t="s">
        <v>32</v>
      </c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8"/>
      <c r="V101" s="20"/>
      <c r="W101" s="20"/>
      <c r="X101" s="20"/>
    </row>
    <row r="102" spans="1:25" s="1" customFormat="1" ht="11.25" customHeight="1" x14ac:dyDescent="0.2">
      <c r="A102" s="84" t="s">
        <v>48</v>
      </c>
      <c r="B102" s="85"/>
      <c r="C102" s="85"/>
      <c r="D102" s="79"/>
      <c r="E102" s="79"/>
      <c r="F102" s="82"/>
      <c r="G102" s="181" t="s">
        <v>33</v>
      </c>
      <c r="H102" s="181"/>
      <c r="I102" s="181"/>
      <c r="J102" s="81"/>
      <c r="K102" s="81"/>
      <c r="L102" s="199" t="s">
        <v>1</v>
      </c>
      <c r="M102" s="199"/>
      <c r="N102" s="211" t="str">
        <f>N71</f>
        <v>осенне-зимний</v>
      </c>
      <c r="O102" s="211"/>
      <c r="P102" s="211"/>
      <c r="Q102" s="211"/>
      <c r="R102" s="81"/>
      <c r="S102" s="81"/>
      <c r="T102" s="81"/>
      <c r="U102" s="9"/>
      <c r="V102" s="15"/>
      <c r="W102" s="15"/>
      <c r="X102" s="15"/>
    </row>
    <row r="103" spans="1:25" s="1" customFormat="1" ht="11.25" customHeight="1" x14ac:dyDescent="0.2">
      <c r="A103" s="85"/>
      <c r="B103" s="85"/>
      <c r="C103" s="85"/>
      <c r="D103" s="198" t="s">
        <v>2</v>
      </c>
      <c r="E103" s="198"/>
      <c r="F103" s="198"/>
      <c r="G103" s="86">
        <v>1</v>
      </c>
      <c r="H103" s="81"/>
      <c r="I103" s="79"/>
      <c r="J103" s="79"/>
      <c r="K103" s="79"/>
      <c r="L103" s="198" t="s">
        <v>3</v>
      </c>
      <c r="M103" s="198"/>
      <c r="N103" s="181" t="str">
        <f>N72</f>
        <v>с 7-11 лет;12 и старше</v>
      </c>
      <c r="O103" s="181"/>
      <c r="P103" s="181"/>
      <c r="Q103" s="181"/>
      <c r="R103" s="181"/>
      <c r="S103" s="181"/>
      <c r="T103" s="181"/>
      <c r="U103" s="10"/>
      <c r="V103" s="16"/>
      <c r="W103" s="16"/>
      <c r="X103" s="16"/>
    </row>
    <row r="104" spans="1:25" s="1" customFormat="1" ht="21.75" customHeight="1" x14ac:dyDescent="0.2">
      <c r="A104" s="201" t="s">
        <v>66</v>
      </c>
      <c r="B104" s="201" t="s">
        <v>5</v>
      </c>
      <c r="C104" s="201"/>
      <c r="D104" s="201" t="s">
        <v>6</v>
      </c>
      <c r="E104" s="149"/>
      <c r="F104" s="233" t="s">
        <v>7</v>
      </c>
      <c r="G104" s="233"/>
      <c r="H104" s="233"/>
      <c r="I104" s="201" t="s">
        <v>8</v>
      </c>
      <c r="J104" s="233" t="s">
        <v>9</v>
      </c>
      <c r="K104" s="233"/>
      <c r="L104" s="233"/>
      <c r="M104" s="233"/>
      <c r="N104" s="233"/>
      <c r="O104" s="233" t="s">
        <v>10</v>
      </c>
      <c r="P104" s="233"/>
      <c r="Q104" s="233"/>
      <c r="R104" s="233"/>
      <c r="S104" s="233"/>
      <c r="T104" s="233"/>
      <c r="U104" s="4"/>
      <c r="V104" s="17"/>
      <c r="W104" s="17"/>
      <c r="X104" s="17"/>
    </row>
    <row r="105" spans="1:25" s="1" customFormat="1" ht="21" customHeight="1" x14ac:dyDescent="0.2">
      <c r="A105" s="202"/>
      <c r="B105" s="184"/>
      <c r="C105" s="185"/>
      <c r="D105" s="202"/>
      <c r="E105" s="88"/>
      <c r="F105" s="89" t="s">
        <v>11</v>
      </c>
      <c r="G105" s="90" t="s">
        <v>12</v>
      </c>
      <c r="H105" s="90" t="s">
        <v>13</v>
      </c>
      <c r="I105" s="202"/>
      <c r="J105" s="90" t="s">
        <v>14</v>
      </c>
      <c r="K105" s="90" t="s">
        <v>50</v>
      </c>
      <c r="L105" s="90" t="s">
        <v>15</v>
      </c>
      <c r="M105" s="90" t="s">
        <v>16</v>
      </c>
      <c r="N105" s="90" t="s">
        <v>17</v>
      </c>
      <c r="O105" s="90" t="s">
        <v>18</v>
      </c>
      <c r="P105" s="90" t="s">
        <v>19</v>
      </c>
      <c r="Q105" s="90" t="s">
        <v>51</v>
      </c>
      <c r="R105" s="90" t="s">
        <v>52</v>
      </c>
      <c r="S105" s="90" t="s">
        <v>20</v>
      </c>
      <c r="T105" s="90" t="s">
        <v>21</v>
      </c>
      <c r="U105" s="4"/>
      <c r="V105" s="17"/>
      <c r="W105" s="17"/>
      <c r="X105" s="17"/>
    </row>
    <row r="106" spans="1:25" s="1" customFormat="1" ht="11.25" customHeight="1" x14ac:dyDescent="0.2">
      <c r="A106" s="91">
        <v>1</v>
      </c>
      <c r="B106" s="214">
        <v>2</v>
      </c>
      <c r="C106" s="214"/>
      <c r="D106" s="92">
        <v>3</v>
      </c>
      <c r="E106" s="92"/>
      <c r="F106" s="93">
        <v>4</v>
      </c>
      <c r="G106" s="92">
        <v>5</v>
      </c>
      <c r="H106" s="92">
        <v>6</v>
      </c>
      <c r="I106" s="92">
        <v>7</v>
      </c>
      <c r="J106" s="92">
        <v>8</v>
      </c>
      <c r="K106" s="92">
        <v>9</v>
      </c>
      <c r="L106" s="92">
        <v>10</v>
      </c>
      <c r="M106" s="92">
        <v>11</v>
      </c>
      <c r="N106" s="92">
        <v>12</v>
      </c>
      <c r="O106" s="92">
        <v>13</v>
      </c>
      <c r="P106" s="92">
        <v>14</v>
      </c>
      <c r="Q106" s="92">
        <v>15</v>
      </c>
      <c r="R106" s="92">
        <v>16</v>
      </c>
      <c r="S106" s="92">
        <v>17</v>
      </c>
      <c r="T106" s="92">
        <v>18</v>
      </c>
      <c r="U106" s="5"/>
      <c r="V106" s="18"/>
      <c r="W106" s="18"/>
      <c r="X106" s="18"/>
    </row>
    <row r="107" spans="1:25" s="1" customFormat="1" ht="11.25" customHeight="1" x14ac:dyDescent="0.2">
      <c r="A107" s="200" t="s">
        <v>81</v>
      </c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6"/>
      <c r="V107" s="19"/>
      <c r="W107" s="19"/>
      <c r="X107" s="19"/>
    </row>
    <row r="108" spans="1:25" s="60" customFormat="1" ht="21.75" customHeight="1" x14ac:dyDescent="0.2">
      <c r="A108" s="91">
        <v>173</v>
      </c>
      <c r="B108" s="193" t="s">
        <v>77</v>
      </c>
      <c r="C108" s="194"/>
      <c r="D108" s="99">
        <v>200</v>
      </c>
      <c r="E108" s="100">
        <v>23.87</v>
      </c>
      <c r="F108" s="100">
        <v>7.3</v>
      </c>
      <c r="G108" s="100">
        <v>12.5</v>
      </c>
      <c r="H108" s="100">
        <v>54.3</v>
      </c>
      <c r="I108" s="100">
        <v>358.9</v>
      </c>
      <c r="J108" s="100">
        <v>0.14000000000000001</v>
      </c>
      <c r="K108" s="100">
        <v>0.18</v>
      </c>
      <c r="L108" s="100">
        <v>3.35</v>
      </c>
      <c r="M108" s="103">
        <v>3.6999999999999998E-2</v>
      </c>
      <c r="N108" s="101">
        <v>1.3</v>
      </c>
      <c r="O108" s="100">
        <v>147.6</v>
      </c>
      <c r="P108" s="100">
        <v>198.6</v>
      </c>
      <c r="Q108" s="99">
        <v>0</v>
      </c>
      <c r="R108" s="103">
        <v>0</v>
      </c>
      <c r="S108" s="100">
        <v>57.8</v>
      </c>
      <c r="T108" s="100">
        <v>1.3</v>
      </c>
      <c r="U108" s="58"/>
      <c r="V108" s="65"/>
      <c r="W108" s="65"/>
      <c r="X108" s="65"/>
    </row>
    <row r="109" spans="1:25" s="60" customFormat="1" ht="12.75" customHeight="1" x14ac:dyDescent="0.2">
      <c r="A109" s="138">
        <v>3</v>
      </c>
      <c r="B109" s="205" t="s">
        <v>93</v>
      </c>
      <c r="C109" s="205"/>
      <c r="D109" s="126">
        <v>45</v>
      </c>
      <c r="E109" s="127">
        <v>13.32</v>
      </c>
      <c r="F109" s="127">
        <v>6.45</v>
      </c>
      <c r="G109" s="150">
        <v>7.27</v>
      </c>
      <c r="H109" s="127">
        <v>17.77</v>
      </c>
      <c r="I109" s="127">
        <v>162.25</v>
      </c>
      <c r="J109" s="127">
        <v>0.04</v>
      </c>
      <c r="K109" s="127">
        <v>0.02</v>
      </c>
      <c r="L109" s="126">
        <v>10</v>
      </c>
      <c r="M109" s="126">
        <v>0.02</v>
      </c>
      <c r="N109" s="127">
        <v>0.2</v>
      </c>
      <c r="O109" s="127">
        <v>16</v>
      </c>
      <c r="P109" s="127">
        <v>11</v>
      </c>
      <c r="Q109" s="126">
        <v>0.03</v>
      </c>
      <c r="R109" s="126">
        <v>2E-3</v>
      </c>
      <c r="S109" s="127">
        <v>9</v>
      </c>
      <c r="T109" s="127">
        <v>2.2000000000000002</v>
      </c>
      <c r="U109" s="71"/>
      <c r="V109" s="71"/>
      <c r="W109" s="71"/>
      <c r="X109" s="71"/>
    </row>
    <row r="110" spans="1:25" s="60" customFormat="1" ht="12.75" customHeight="1" x14ac:dyDescent="0.2">
      <c r="A110" s="91">
        <v>377</v>
      </c>
      <c r="B110" s="210" t="s">
        <v>41</v>
      </c>
      <c r="C110" s="210"/>
      <c r="D110" s="99">
        <v>200</v>
      </c>
      <c r="E110" s="100">
        <v>3.81</v>
      </c>
      <c r="F110" s="100">
        <v>0.26</v>
      </c>
      <c r="G110" s="100">
        <v>0.06</v>
      </c>
      <c r="H110" s="100">
        <v>15.22</v>
      </c>
      <c r="I110" s="100">
        <f>F110*4+G110*9+H110*4</f>
        <v>62.46</v>
      </c>
      <c r="J110" s="100"/>
      <c r="K110" s="100">
        <v>0.01</v>
      </c>
      <c r="L110" s="100">
        <v>2.9</v>
      </c>
      <c r="M110" s="101">
        <v>0</v>
      </c>
      <c r="N110" s="100">
        <v>0.06</v>
      </c>
      <c r="O110" s="100">
        <v>8.0500000000000007</v>
      </c>
      <c r="P110" s="100">
        <v>9.7799999999999994</v>
      </c>
      <c r="Q110" s="100">
        <v>1.7000000000000001E-2</v>
      </c>
      <c r="R110" s="103">
        <v>0</v>
      </c>
      <c r="S110" s="100">
        <v>5.24</v>
      </c>
      <c r="T110" s="100">
        <v>0.87</v>
      </c>
      <c r="U110" s="58"/>
      <c r="V110" s="59"/>
      <c r="W110" s="59"/>
      <c r="X110" s="59"/>
    </row>
    <row r="111" spans="1:25" s="60" customFormat="1" ht="11.25" customHeight="1" x14ac:dyDescent="0.2">
      <c r="A111" s="151">
        <v>338</v>
      </c>
      <c r="B111" s="210" t="s">
        <v>76</v>
      </c>
      <c r="C111" s="210"/>
      <c r="D111" s="99">
        <v>120</v>
      </c>
      <c r="E111" s="100">
        <v>32</v>
      </c>
      <c r="F111" s="100">
        <v>1.5</v>
      </c>
      <c r="G111" s="100">
        <v>0.5</v>
      </c>
      <c r="H111" s="100">
        <v>2.1</v>
      </c>
      <c r="I111" s="100">
        <v>94.5</v>
      </c>
      <c r="J111" s="100">
        <v>0.04</v>
      </c>
      <c r="K111" s="100">
        <v>0.02</v>
      </c>
      <c r="L111" s="99">
        <v>10</v>
      </c>
      <c r="M111" s="99">
        <v>0.02</v>
      </c>
      <c r="N111" s="100">
        <v>0.2</v>
      </c>
      <c r="O111" s="100">
        <v>16</v>
      </c>
      <c r="P111" s="100">
        <v>11</v>
      </c>
      <c r="Q111" s="99">
        <v>0.03</v>
      </c>
      <c r="R111" s="99">
        <v>2E-3</v>
      </c>
      <c r="S111" s="100">
        <v>9</v>
      </c>
      <c r="T111" s="100">
        <v>2.2000000000000002</v>
      </c>
      <c r="U111" s="58"/>
      <c r="V111" s="69"/>
      <c r="W111" s="69"/>
      <c r="X111" s="70"/>
    </row>
    <row r="112" spans="1:25" s="1" customFormat="1" ht="11.25" customHeight="1" x14ac:dyDescent="0.2">
      <c r="A112" s="152" t="s">
        <v>82</v>
      </c>
      <c r="B112" s="152"/>
      <c r="C112" s="152"/>
      <c r="D112" s="110">
        <f t="shared" ref="D112:T112" si="27">SUM(D108:D111)</f>
        <v>565</v>
      </c>
      <c r="E112" s="111">
        <f t="shared" si="27"/>
        <v>73</v>
      </c>
      <c r="F112" s="111">
        <f t="shared" si="27"/>
        <v>15.51</v>
      </c>
      <c r="G112" s="111">
        <f t="shared" si="27"/>
        <v>20.329999999999998</v>
      </c>
      <c r="H112" s="111">
        <f t="shared" si="27"/>
        <v>89.389999999999986</v>
      </c>
      <c r="I112" s="111">
        <f t="shared" si="27"/>
        <v>678.11</v>
      </c>
      <c r="J112" s="111">
        <f t="shared" si="27"/>
        <v>0.22000000000000003</v>
      </c>
      <c r="K112" s="111">
        <f t="shared" si="27"/>
        <v>0.22999999999999998</v>
      </c>
      <c r="L112" s="111">
        <f t="shared" si="27"/>
        <v>26.25</v>
      </c>
      <c r="M112" s="111">
        <f t="shared" si="27"/>
        <v>7.6999999999999999E-2</v>
      </c>
      <c r="N112" s="111">
        <f t="shared" si="27"/>
        <v>1.76</v>
      </c>
      <c r="O112" s="111">
        <f t="shared" si="27"/>
        <v>187.65</v>
      </c>
      <c r="P112" s="111">
        <f t="shared" si="27"/>
        <v>230.38</v>
      </c>
      <c r="Q112" s="111">
        <f t="shared" si="27"/>
        <v>7.6999999999999999E-2</v>
      </c>
      <c r="R112" s="111">
        <f t="shared" si="27"/>
        <v>4.0000000000000001E-3</v>
      </c>
      <c r="S112" s="111">
        <f t="shared" si="27"/>
        <v>81.039999999999992</v>
      </c>
      <c r="T112" s="111">
        <f t="shared" si="27"/>
        <v>6.57</v>
      </c>
      <c r="U112" s="23"/>
      <c r="V112" s="36">
        <f>AVERAGE(I113,I144,I178,I210,I243)</f>
        <v>29.760863725490196</v>
      </c>
      <c r="W112" s="36" t="e">
        <f>AVERAGE(I123,I155,#REF!,I220,#REF!)</f>
        <v>#REF!</v>
      </c>
      <c r="X112" s="36">
        <f>AVERAGE(I128,I161,I194,I225,I258)</f>
        <v>827.36346666666668</v>
      </c>
      <c r="Y112" s="43"/>
    </row>
    <row r="113" spans="1:25" s="1" customFormat="1" ht="11.25" customHeight="1" x14ac:dyDescent="0.2">
      <c r="A113" s="186" t="s">
        <v>55</v>
      </c>
      <c r="B113" s="187"/>
      <c r="C113" s="187"/>
      <c r="D113" s="188"/>
      <c r="E113" s="135"/>
      <c r="F113" s="162">
        <f t="shared" ref="F113:T113" si="28">F112/F130</f>
        <v>0.17233333333333334</v>
      </c>
      <c r="G113" s="160">
        <f t="shared" si="28"/>
        <v>0.22097826086956521</v>
      </c>
      <c r="H113" s="160">
        <f t="shared" si="28"/>
        <v>0.23339425587467361</v>
      </c>
      <c r="I113" s="160">
        <f t="shared" si="28"/>
        <v>0.24930514705882353</v>
      </c>
      <c r="J113" s="160">
        <f t="shared" si="28"/>
        <v>0.15714285714285717</v>
      </c>
      <c r="K113" s="160">
        <f t="shared" si="28"/>
        <v>0.14374999999999999</v>
      </c>
      <c r="L113" s="160">
        <f t="shared" si="28"/>
        <v>0.375</v>
      </c>
      <c r="M113" s="160">
        <f t="shared" si="28"/>
        <v>8.5555555555555551E-2</v>
      </c>
      <c r="N113" s="160">
        <f t="shared" si="28"/>
        <v>0.14666666666666667</v>
      </c>
      <c r="O113" s="160">
        <f t="shared" si="28"/>
        <v>0.15637500000000001</v>
      </c>
      <c r="P113" s="160">
        <f t="shared" si="28"/>
        <v>0.19198333333333334</v>
      </c>
      <c r="Q113" s="160">
        <f t="shared" si="28"/>
        <v>5.4999999999999997E-3</v>
      </c>
      <c r="R113" s="160">
        <f t="shared" si="28"/>
        <v>0.04</v>
      </c>
      <c r="S113" s="160">
        <f t="shared" si="28"/>
        <v>0.27013333333333328</v>
      </c>
      <c r="T113" s="160">
        <f t="shared" si="28"/>
        <v>0.36499999999999999</v>
      </c>
      <c r="U113" s="47"/>
      <c r="V113" s="46"/>
      <c r="W113" s="46"/>
      <c r="X113" s="46"/>
    </row>
    <row r="114" spans="1:25" s="1" customFormat="1" ht="11.25" customHeight="1" x14ac:dyDescent="0.2">
      <c r="A114" s="200" t="s">
        <v>24</v>
      </c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6"/>
      <c r="V114" s="19"/>
      <c r="W114" s="19"/>
      <c r="X114" s="19"/>
    </row>
    <row r="115" spans="1:25" s="61" customFormat="1" ht="21.75" customHeight="1" x14ac:dyDescent="0.2">
      <c r="A115" s="91" t="s">
        <v>89</v>
      </c>
      <c r="B115" s="193" t="s">
        <v>95</v>
      </c>
      <c r="C115" s="194"/>
      <c r="D115" s="99">
        <v>100</v>
      </c>
      <c r="E115" s="100">
        <v>10.54</v>
      </c>
      <c r="F115" s="100">
        <v>1.5</v>
      </c>
      <c r="G115" s="100">
        <v>2.1833333333333331</v>
      </c>
      <c r="H115" s="100">
        <v>9.3333333333333339</v>
      </c>
      <c r="I115" s="100">
        <v>62.983333333333334</v>
      </c>
      <c r="J115" s="100">
        <v>0.1</v>
      </c>
      <c r="K115" s="100">
        <v>0.11666666666666668</v>
      </c>
      <c r="L115" s="100">
        <v>25.833333333333332</v>
      </c>
      <c r="M115" s="103">
        <v>0.11833333333333333</v>
      </c>
      <c r="N115" s="100">
        <v>0.5</v>
      </c>
      <c r="O115" s="100">
        <v>47</v>
      </c>
      <c r="P115" s="100">
        <v>31.499999999999996</v>
      </c>
      <c r="Q115" s="100">
        <v>0.33333333333333331</v>
      </c>
      <c r="R115" s="103">
        <v>1.6666666666666668E-3</v>
      </c>
      <c r="S115" s="100">
        <v>17.5</v>
      </c>
      <c r="T115" s="100">
        <v>1</v>
      </c>
      <c r="U115" s="58"/>
      <c r="V115" s="59"/>
      <c r="W115" s="59"/>
      <c r="X115" s="59"/>
      <c r="Y115" s="60"/>
    </row>
    <row r="116" spans="1:25" s="60" customFormat="1" ht="22.5" customHeight="1" x14ac:dyDescent="0.2">
      <c r="A116" s="91">
        <v>82</v>
      </c>
      <c r="B116" s="193" t="s">
        <v>73</v>
      </c>
      <c r="C116" s="194"/>
      <c r="D116" s="101">
        <v>250</v>
      </c>
      <c r="E116" s="101">
        <v>11.73</v>
      </c>
      <c r="F116" s="100">
        <v>2.4300000000000002</v>
      </c>
      <c r="G116" s="100">
        <v>3.12</v>
      </c>
      <c r="H116" s="100">
        <v>12.01</v>
      </c>
      <c r="I116" s="100">
        <f>F116*4+G116*9+H116*4</f>
        <v>85.84</v>
      </c>
      <c r="J116" s="101">
        <v>6.4000000000000001E-2</v>
      </c>
      <c r="K116" s="101">
        <v>6.4000000000000001E-2</v>
      </c>
      <c r="L116" s="100">
        <v>20.98</v>
      </c>
      <c r="M116" s="103">
        <v>7.5999999999999998E-2</v>
      </c>
      <c r="N116" s="100">
        <v>0.25700000000000001</v>
      </c>
      <c r="O116" s="100">
        <v>49.59</v>
      </c>
      <c r="P116" s="100">
        <v>58.68</v>
      </c>
      <c r="Q116" s="100">
        <v>0.746</v>
      </c>
      <c r="R116" s="103">
        <v>1.0999999999999999E-2</v>
      </c>
      <c r="S116" s="100">
        <v>25.43</v>
      </c>
      <c r="T116" s="100">
        <v>1.32</v>
      </c>
      <c r="U116" s="58"/>
      <c r="V116" s="59"/>
      <c r="W116" s="59"/>
      <c r="X116" s="59"/>
    </row>
    <row r="117" spans="1:25" s="60" customFormat="1" ht="22.5" customHeight="1" x14ac:dyDescent="0.2">
      <c r="A117" s="104">
        <v>591</v>
      </c>
      <c r="B117" s="215" t="s">
        <v>94</v>
      </c>
      <c r="C117" s="216"/>
      <c r="D117" s="105">
        <v>120</v>
      </c>
      <c r="E117" s="119">
        <v>53.16</v>
      </c>
      <c r="F117" s="119">
        <v>5.86</v>
      </c>
      <c r="G117" s="119">
        <v>16.309999999999999</v>
      </c>
      <c r="H117" s="119">
        <v>3.07</v>
      </c>
      <c r="I117" s="119">
        <v>182.51</v>
      </c>
      <c r="J117" s="119">
        <v>0.14000000000000001</v>
      </c>
      <c r="K117" s="119">
        <v>0.05</v>
      </c>
      <c r="L117" s="119">
        <v>0.09</v>
      </c>
      <c r="M117" s="119">
        <v>0</v>
      </c>
      <c r="N117" s="119">
        <v>0</v>
      </c>
      <c r="O117" s="119">
        <v>9.5399999999999991</v>
      </c>
      <c r="P117" s="119">
        <v>63.38</v>
      </c>
      <c r="Q117" s="119">
        <v>1.1200000000000001</v>
      </c>
      <c r="R117" s="119">
        <v>2.5499999999999998</v>
      </c>
      <c r="S117" s="119">
        <v>11.3</v>
      </c>
      <c r="T117" s="119">
        <v>0.75</v>
      </c>
      <c r="U117" s="58"/>
      <c r="V117" s="59"/>
      <c r="W117" s="59"/>
      <c r="X117" s="59"/>
    </row>
    <row r="118" spans="1:25" s="60" customFormat="1" ht="12" customHeight="1" x14ac:dyDescent="0.2">
      <c r="A118" s="91">
        <v>203</v>
      </c>
      <c r="B118" s="193" t="s">
        <v>65</v>
      </c>
      <c r="C118" s="194"/>
      <c r="D118" s="99">
        <v>180</v>
      </c>
      <c r="E118" s="100">
        <v>8.77</v>
      </c>
      <c r="F118" s="100">
        <v>6.84</v>
      </c>
      <c r="G118" s="100">
        <v>4.1159999999999997</v>
      </c>
      <c r="H118" s="100">
        <v>43.740000000000009</v>
      </c>
      <c r="I118" s="100">
        <v>239.36400000000003</v>
      </c>
      <c r="J118" s="100">
        <v>0.108</v>
      </c>
      <c r="K118" s="100">
        <v>3.5999999999999997E-2</v>
      </c>
      <c r="L118" s="100">
        <v>0</v>
      </c>
      <c r="M118" s="103">
        <v>3.5999999999999997E-2</v>
      </c>
      <c r="N118" s="100">
        <v>1.5</v>
      </c>
      <c r="O118" s="100">
        <v>15.936</v>
      </c>
      <c r="P118" s="100">
        <v>55.451999999999998</v>
      </c>
      <c r="Q118" s="100">
        <v>0.93600000000000005</v>
      </c>
      <c r="R118" s="103">
        <v>1.8000000000000002E-3</v>
      </c>
      <c r="S118" s="100">
        <v>10.164000000000001</v>
      </c>
      <c r="T118" s="100">
        <v>1.032</v>
      </c>
      <c r="U118" s="58"/>
      <c r="V118" s="59"/>
      <c r="W118" s="59"/>
      <c r="X118" s="59"/>
    </row>
    <row r="119" spans="1:25" s="64" customFormat="1" ht="14.25" customHeight="1" x14ac:dyDescent="0.2">
      <c r="A119" s="142">
        <v>699</v>
      </c>
      <c r="B119" s="217" t="s">
        <v>80</v>
      </c>
      <c r="C119" s="218"/>
      <c r="D119" s="143">
        <v>200</v>
      </c>
      <c r="E119" s="144">
        <v>5.2</v>
      </c>
      <c r="F119" s="144">
        <v>0.1</v>
      </c>
      <c r="G119" s="145">
        <v>0</v>
      </c>
      <c r="H119" s="146">
        <v>15.7</v>
      </c>
      <c r="I119" s="144">
        <v>63.2</v>
      </c>
      <c r="J119" s="145">
        <v>1.7999999999999999E-2</v>
      </c>
      <c r="K119" s="145">
        <v>1.2E-2</v>
      </c>
      <c r="L119" s="146">
        <v>8</v>
      </c>
      <c r="M119" s="145">
        <v>0</v>
      </c>
      <c r="N119" s="144">
        <v>0.2</v>
      </c>
      <c r="O119" s="144">
        <v>10.8</v>
      </c>
      <c r="P119" s="144">
        <v>1.7</v>
      </c>
      <c r="Q119" s="144">
        <v>0</v>
      </c>
      <c r="R119" s="147">
        <v>0</v>
      </c>
      <c r="S119" s="144">
        <v>5.8</v>
      </c>
      <c r="T119" s="144">
        <v>1.6</v>
      </c>
    </row>
    <row r="120" spans="1:25" s="60" customFormat="1" ht="11.25" customHeight="1" x14ac:dyDescent="0.2">
      <c r="A120" s="120" t="s">
        <v>58</v>
      </c>
      <c r="B120" s="193" t="s">
        <v>42</v>
      </c>
      <c r="C120" s="194"/>
      <c r="D120" s="99">
        <v>40</v>
      </c>
      <c r="E120" s="100">
        <v>2.08</v>
      </c>
      <c r="F120" s="100">
        <f>2.64*D120/40</f>
        <v>2.64</v>
      </c>
      <c r="G120" s="100">
        <f>0.48*D120/40</f>
        <v>0.48</v>
      </c>
      <c r="H120" s="100">
        <f>13.68*D120/40</f>
        <v>13.680000000000001</v>
      </c>
      <c r="I120" s="100">
        <f>F120*4+G120*9+H120*4</f>
        <v>69.600000000000009</v>
      </c>
      <c r="J120" s="101">
        <f>0.08*D120/40</f>
        <v>0.08</v>
      </c>
      <c r="K120" s="100">
        <f>0.04*D120/40</f>
        <v>0.04</v>
      </c>
      <c r="L120" s="99">
        <v>0</v>
      </c>
      <c r="M120" s="99">
        <v>0</v>
      </c>
      <c r="N120" s="100">
        <f>2.4*D120/40</f>
        <v>2.4</v>
      </c>
      <c r="O120" s="100">
        <f>14*D120/40</f>
        <v>14</v>
      </c>
      <c r="P120" s="100">
        <f>63.2*D120/40</f>
        <v>63.2</v>
      </c>
      <c r="Q120" s="100">
        <f>1.2*D120/40</f>
        <v>1.2</v>
      </c>
      <c r="R120" s="103">
        <f>0.001*D120/40</f>
        <v>1E-3</v>
      </c>
      <c r="S120" s="100">
        <f>9.4*D120/40</f>
        <v>9.4</v>
      </c>
      <c r="T120" s="101">
        <f>0.78*D120/40</f>
        <v>0.78</v>
      </c>
      <c r="U120" s="66"/>
      <c r="V120" s="67"/>
      <c r="W120" s="67"/>
      <c r="X120" s="67"/>
    </row>
    <row r="121" spans="1:25" s="60" customFormat="1" ht="11.25" customHeight="1" x14ac:dyDescent="0.2">
      <c r="A121" s="102" t="s">
        <v>58</v>
      </c>
      <c r="B121" s="193" t="s">
        <v>47</v>
      </c>
      <c r="C121" s="194"/>
      <c r="D121" s="99">
        <v>30</v>
      </c>
      <c r="E121" s="100">
        <v>2.52</v>
      </c>
      <c r="F121" s="100">
        <f>1.52*D121/30</f>
        <v>1.52</v>
      </c>
      <c r="G121" s="103">
        <f>0.16*D121/30</f>
        <v>0.16</v>
      </c>
      <c r="H121" s="103">
        <f>9.84*D121/30</f>
        <v>9.84</v>
      </c>
      <c r="I121" s="103">
        <f>F121*4+G121*9+H121*4</f>
        <v>46.879999999999995</v>
      </c>
      <c r="J121" s="103">
        <f>0.02*D121/30</f>
        <v>0.02</v>
      </c>
      <c r="K121" s="103">
        <f>0.01*D121/30</f>
        <v>0.01</v>
      </c>
      <c r="L121" s="103">
        <f>0.44*D121/30</f>
        <v>0.44</v>
      </c>
      <c r="M121" s="103">
        <v>0</v>
      </c>
      <c r="N121" s="103">
        <f>0.7*D121/30</f>
        <v>0.7</v>
      </c>
      <c r="O121" s="103">
        <f>4*D121/30</f>
        <v>4</v>
      </c>
      <c r="P121" s="103">
        <f>13*D121/30</f>
        <v>13</v>
      </c>
      <c r="Q121" s="103">
        <f>0.008*D121/30</f>
        <v>8.0000000000000002E-3</v>
      </c>
      <c r="R121" s="103">
        <f>0.001*D121/30</f>
        <v>1E-3</v>
      </c>
      <c r="S121" s="103">
        <v>0</v>
      </c>
      <c r="T121" s="103">
        <f>0.22*D121/30</f>
        <v>0.22</v>
      </c>
      <c r="U121" s="58"/>
      <c r="V121" s="59"/>
      <c r="W121" s="59"/>
      <c r="X121" s="59"/>
    </row>
    <row r="122" spans="1:25" s="1" customFormat="1" ht="11.25" customHeight="1" x14ac:dyDescent="0.2">
      <c r="A122" s="152" t="s">
        <v>25</v>
      </c>
      <c r="B122" s="152"/>
      <c r="C122" s="152"/>
      <c r="D122" s="110">
        <f t="shared" ref="D122:I122" si="29">SUM(D115:D121)</f>
        <v>920</v>
      </c>
      <c r="E122" s="111">
        <f t="shared" si="29"/>
        <v>93.999999999999986</v>
      </c>
      <c r="F122" s="121">
        <f t="shared" si="29"/>
        <v>20.890000000000004</v>
      </c>
      <c r="G122" s="121">
        <f t="shared" si="29"/>
        <v>26.36933333333333</v>
      </c>
      <c r="H122" s="121">
        <f t="shared" si="29"/>
        <v>107.37333333333335</v>
      </c>
      <c r="I122" s="122">
        <f t="shared" si="29"/>
        <v>750.37733333333335</v>
      </c>
      <c r="J122" s="121">
        <f t="shared" ref="J122:S122" si="30">SUM(J115:J121)</f>
        <v>0.53</v>
      </c>
      <c r="K122" s="121">
        <f t="shared" si="30"/>
        <v>0.32866666666666666</v>
      </c>
      <c r="L122" s="121">
        <f t="shared" si="30"/>
        <v>55.343333333333334</v>
      </c>
      <c r="M122" s="121">
        <f t="shared" si="30"/>
        <v>0.23033333333333333</v>
      </c>
      <c r="N122" s="121">
        <f t="shared" si="30"/>
        <v>5.5570000000000004</v>
      </c>
      <c r="O122" s="121">
        <f t="shared" si="30"/>
        <v>150.86600000000001</v>
      </c>
      <c r="P122" s="121">
        <f t="shared" si="30"/>
        <v>286.91199999999998</v>
      </c>
      <c r="Q122" s="121">
        <f t="shared" si="30"/>
        <v>4.3433333333333337</v>
      </c>
      <c r="R122" s="124">
        <f t="shared" si="30"/>
        <v>2.566466666666666</v>
      </c>
      <c r="S122" s="121">
        <f t="shared" si="30"/>
        <v>79.594000000000008</v>
      </c>
      <c r="T122" s="121">
        <f>SUM(T115:T121)</f>
        <v>6.702</v>
      </c>
      <c r="U122" s="23"/>
      <c r="V122" s="45"/>
      <c r="W122" s="45"/>
      <c r="X122" s="45"/>
    </row>
    <row r="123" spans="1:25" s="1" customFormat="1" ht="11.25" customHeight="1" x14ac:dyDescent="0.2">
      <c r="A123" s="186" t="s">
        <v>55</v>
      </c>
      <c r="B123" s="187"/>
      <c r="C123" s="187"/>
      <c r="D123" s="188"/>
      <c r="E123" s="135"/>
      <c r="F123" s="162">
        <f t="shared" ref="F123:T123" si="31">F122/F130</f>
        <v>0.23211111111111116</v>
      </c>
      <c r="G123" s="160">
        <f t="shared" si="31"/>
        <v>0.28662318840579709</v>
      </c>
      <c r="H123" s="160">
        <f t="shared" si="31"/>
        <v>0.28034812880765886</v>
      </c>
      <c r="I123" s="160">
        <f t="shared" si="31"/>
        <v>0.27587401960784314</v>
      </c>
      <c r="J123" s="160">
        <f t="shared" si="31"/>
        <v>0.37857142857142861</v>
      </c>
      <c r="K123" s="160">
        <f t="shared" si="31"/>
        <v>0.20541666666666666</v>
      </c>
      <c r="L123" s="160">
        <f t="shared" si="31"/>
        <v>0.79061904761904767</v>
      </c>
      <c r="M123" s="160">
        <f t="shared" si="31"/>
        <v>0.25592592592592595</v>
      </c>
      <c r="N123" s="160">
        <f t="shared" si="31"/>
        <v>0.46308333333333335</v>
      </c>
      <c r="O123" s="160">
        <f t="shared" si="31"/>
        <v>0.12572166666666668</v>
      </c>
      <c r="P123" s="160">
        <f t="shared" si="31"/>
        <v>0.23909333333333332</v>
      </c>
      <c r="Q123" s="160">
        <f t="shared" si="31"/>
        <v>0.31023809523809526</v>
      </c>
      <c r="R123" s="160">
        <f t="shared" si="31"/>
        <v>25.664666666666658</v>
      </c>
      <c r="S123" s="160">
        <f t="shared" si="31"/>
        <v>0.26531333333333335</v>
      </c>
      <c r="T123" s="160">
        <f t="shared" si="31"/>
        <v>0.37233333333333335</v>
      </c>
      <c r="U123" s="47"/>
      <c r="V123" s="45"/>
      <c r="W123" s="45"/>
      <c r="X123" s="45"/>
      <c r="Y123" s="43"/>
    </row>
    <row r="124" spans="1:25" s="1" customFormat="1" ht="11.25" customHeight="1" x14ac:dyDescent="0.2">
      <c r="A124" s="200" t="s">
        <v>26</v>
      </c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6"/>
      <c r="V124" s="19"/>
      <c r="W124" s="19"/>
      <c r="X124" s="19"/>
    </row>
    <row r="125" spans="1:25" s="42" customFormat="1" ht="12" customHeight="1" x14ac:dyDescent="0.2">
      <c r="A125" s="125"/>
      <c r="B125" s="205"/>
      <c r="C125" s="205"/>
      <c r="D125" s="126"/>
      <c r="E125" s="127"/>
      <c r="F125" s="127"/>
      <c r="G125" s="130"/>
      <c r="H125" s="130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</row>
    <row r="126" spans="1:25" s="42" customFormat="1" ht="13.5" customHeight="1" x14ac:dyDescent="0.2">
      <c r="A126" s="131"/>
      <c r="B126" s="197"/>
      <c r="C126" s="197"/>
      <c r="D126" s="118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</row>
    <row r="127" spans="1:25" s="1" customFormat="1" ht="11.25" customHeight="1" x14ac:dyDescent="0.2">
      <c r="A127" s="108" t="s">
        <v>27</v>
      </c>
      <c r="B127" s="109"/>
      <c r="C127" s="109"/>
      <c r="D127" s="110">
        <f t="shared" ref="D127:T127" si="32">SUM(D125:D126)</f>
        <v>0</v>
      </c>
      <c r="E127" s="111">
        <f t="shared" si="32"/>
        <v>0</v>
      </c>
      <c r="F127" s="111">
        <f t="shared" si="32"/>
        <v>0</v>
      </c>
      <c r="G127" s="111">
        <f t="shared" si="32"/>
        <v>0</v>
      </c>
      <c r="H127" s="111">
        <f t="shared" si="32"/>
        <v>0</v>
      </c>
      <c r="I127" s="111">
        <f t="shared" si="32"/>
        <v>0</v>
      </c>
      <c r="J127" s="111">
        <f t="shared" si="32"/>
        <v>0</v>
      </c>
      <c r="K127" s="111">
        <f t="shared" si="32"/>
        <v>0</v>
      </c>
      <c r="L127" s="111">
        <f t="shared" si="32"/>
        <v>0</v>
      </c>
      <c r="M127" s="111">
        <f t="shared" si="32"/>
        <v>0</v>
      </c>
      <c r="N127" s="111">
        <f t="shared" si="32"/>
        <v>0</v>
      </c>
      <c r="O127" s="111">
        <f t="shared" si="32"/>
        <v>0</v>
      </c>
      <c r="P127" s="111">
        <f t="shared" si="32"/>
        <v>0</v>
      </c>
      <c r="Q127" s="111">
        <f t="shared" si="32"/>
        <v>0</v>
      </c>
      <c r="R127" s="111">
        <f t="shared" si="32"/>
        <v>0</v>
      </c>
      <c r="S127" s="111">
        <f t="shared" si="32"/>
        <v>0</v>
      </c>
      <c r="T127" s="111">
        <f t="shared" si="32"/>
        <v>0</v>
      </c>
      <c r="U127" s="23"/>
      <c r="V127" s="45"/>
      <c r="W127" s="45"/>
      <c r="X127" s="45"/>
    </row>
    <row r="128" spans="1:25" s="1" customFormat="1" ht="11.25" customHeight="1" x14ac:dyDescent="0.2">
      <c r="A128" s="186" t="s">
        <v>55</v>
      </c>
      <c r="B128" s="187"/>
      <c r="C128" s="187"/>
      <c r="D128" s="188"/>
      <c r="E128" s="153"/>
      <c r="F128" s="154">
        <f>F127/F130</f>
        <v>0</v>
      </c>
      <c r="G128" s="160">
        <f t="shared" ref="G128:T128" si="33">G127/G130</f>
        <v>0</v>
      </c>
      <c r="H128" s="160">
        <f t="shared" si="33"/>
        <v>0</v>
      </c>
      <c r="I128" s="160">
        <f t="shared" si="33"/>
        <v>0</v>
      </c>
      <c r="J128" s="160">
        <f t="shared" si="33"/>
        <v>0</v>
      </c>
      <c r="K128" s="160">
        <f t="shared" si="33"/>
        <v>0</v>
      </c>
      <c r="L128" s="160">
        <f t="shared" si="33"/>
        <v>0</v>
      </c>
      <c r="M128" s="160">
        <f t="shared" si="33"/>
        <v>0</v>
      </c>
      <c r="N128" s="160">
        <f t="shared" si="33"/>
        <v>0</v>
      </c>
      <c r="O128" s="160">
        <f t="shared" si="33"/>
        <v>0</v>
      </c>
      <c r="P128" s="160">
        <f t="shared" si="33"/>
        <v>0</v>
      </c>
      <c r="Q128" s="160">
        <f t="shared" si="33"/>
        <v>0</v>
      </c>
      <c r="R128" s="160">
        <f t="shared" si="33"/>
        <v>0</v>
      </c>
      <c r="S128" s="160">
        <f t="shared" si="33"/>
        <v>0</v>
      </c>
      <c r="T128" s="160">
        <f t="shared" si="33"/>
        <v>0</v>
      </c>
      <c r="U128" s="47"/>
      <c r="V128" s="45"/>
      <c r="W128" s="45"/>
      <c r="X128" s="45"/>
    </row>
    <row r="129" spans="1:24" s="1" customFormat="1" ht="11.25" customHeight="1" x14ac:dyDescent="0.2">
      <c r="A129" s="108" t="s">
        <v>54</v>
      </c>
      <c r="B129" s="109"/>
      <c r="C129" s="109"/>
      <c r="D129" s="133">
        <f>D122+D112</f>
        <v>1485</v>
      </c>
      <c r="E129" s="134">
        <f>E122+E112</f>
        <v>167</v>
      </c>
      <c r="F129" s="121">
        <f t="shared" ref="F129:T129" si="34">SUM(F112,F122,F127)</f>
        <v>36.400000000000006</v>
      </c>
      <c r="G129" s="122">
        <f t="shared" si="34"/>
        <v>46.699333333333328</v>
      </c>
      <c r="H129" s="122">
        <f t="shared" si="34"/>
        <v>196.76333333333332</v>
      </c>
      <c r="I129" s="122">
        <f t="shared" si="34"/>
        <v>1428.4873333333335</v>
      </c>
      <c r="J129" s="121">
        <f t="shared" si="34"/>
        <v>0.75</v>
      </c>
      <c r="K129" s="121">
        <f t="shared" si="34"/>
        <v>0.55866666666666664</v>
      </c>
      <c r="L129" s="121">
        <f t="shared" si="34"/>
        <v>81.593333333333334</v>
      </c>
      <c r="M129" s="121">
        <f t="shared" si="34"/>
        <v>0.30733333333333335</v>
      </c>
      <c r="N129" s="121">
        <f t="shared" si="34"/>
        <v>7.3170000000000002</v>
      </c>
      <c r="O129" s="121">
        <f t="shared" si="34"/>
        <v>338.51600000000002</v>
      </c>
      <c r="P129" s="122">
        <f t="shared" si="34"/>
        <v>517.29199999999992</v>
      </c>
      <c r="Q129" s="124">
        <f t="shared" si="34"/>
        <v>4.4203333333333337</v>
      </c>
      <c r="R129" s="124">
        <f t="shared" si="34"/>
        <v>2.570466666666666</v>
      </c>
      <c r="S129" s="121">
        <f t="shared" si="34"/>
        <v>160.63400000000001</v>
      </c>
      <c r="T129" s="121">
        <f t="shared" si="34"/>
        <v>13.272</v>
      </c>
      <c r="U129" s="25"/>
      <c r="V129" s="45"/>
      <c r="W129" s="45"/>
      <c r="X129" s="45"/>
    </row>
    <row r="130" spans="1:24" s="1" customFormat="1" ht="11.25" customHeight="1" x14ac:dyDescent="0.2">
      <c r="A130" s="186" t="s">
        <v>56</v>
      </c>
      <c r="B130" s="187"/>
      <c r="C130" s="187"/>
      <c r="D130" s="188"/>
      <c r="E130" s="135"/>
      <c r="F130" s="100">
        <v>90</v>
      </c>
      <c r="G130" s="116">
        <v>92</v>
      </c>
      <c r="H130" s="116">
        <v>383</v>
      </c>
      <c r="I130" s="116">
        <v>2720</v>
      </c>
      <c r="J130" s="100">
        <v>1.4</v>
      </c>
      <c r="K130" s="100">
        <v>1.6</v>
      </c>
      <c r="L130" s="99">
        <v>70</v>
      </c>
      <c r="M130" s="100">
        <v>0.9</v>
      </c>
      <c r="N130" s="99">
        <v>12</v>
      </c>
      <c r="O130" s="99">
        <v>1200</v>
      </c>
      <c r="P130" s="99">
        <v>1200</v>
      </c>
      <c r="Q130" s="99">
        <v>14</v>
      </c>
      <c r="R130" s="116">
        <v>0.1</v>
      </c>
      <c r="S130" s="99">
        <v>300</v>
      </c>
      <c r="T130" s="100">
        <v>18</v>
      </c>
      <c r="U130" s="48"/>
      <c r="V130" s="49"/>
      <c r="W130" s="49"/>
      <c r="X130" s="49"/>
    </row>
    <row r="131" spans="1:24" s="1" customFormat="1" ht="11.25" customHeight="1" x14ac:dyDescent="0.2">
      <c r="A131" s="186" t="s">
        <v>55</v>
      </c>
      <c r="B131" s="187"/>
      <c r="C131" s="187"/>
      <c r="D131" s="188"/>
      <c r="E131" s="135"/>
      <c r="F131" s="114">
        <f t="shared" ref="F131:T131" si="35">F129/F130</f>
        <v>0.4044444444444445</v>
      </c>
      <c r="G131" s="160">
        <f t="shared" si="35"/>
        <v>0.50760144927536222</v>
      </c>
      <c r="H131" s="115">
        <f t="shared" si="35"/>
        <v>0.51374238468233246</v>
      </c>
      <c r="I131" s="115">
        <f t="shared" si="35"/>
        <v>0.52517916666666675</v>
      </c>
      <c r="J131" s="115">
        <f t="shared" si="35"/>
        <v>0.5357142857142857</v>
      </c>
      <c r="K131" s="115">
        <f t="shared" si="35"/>
        <v>0.34916666666666663</v>
      </c>
      <c r="L131" s="115">
        <f t="shared" si="35"/>
        <v>1.1656190476190476</v>
      </c>
      <c r="M131" s="136">
        <f t="shared" si="35"/>
        <v>0.3414814814814815</v>
      </c>
      <c r="N131" s="115">
        <f t="shared" si="35"/>
        <v>0.60975000000000001</v>
      </c>
      <c r="O131" s="115">
        <f t="shared" si="35"/>
        <v>0.28209666666666666</v>
      </c>
      <c r="P131" s="115">
        <f t="shared" si="35"/>
        <v>0.43107666666666661</v>
      </c>
      <c r="Q131" s="115">
        <f t="shared" si="35"/>
        <v>0.31573809523809526</v>
      </c>
      <c r="R131" s="115">
        <f>R129/R130</f>
        <v>25.704666666666657</v>
      </c>
      <c r="S131" s="115">
        <f t="shared" si="35"/>
        <v>0.53544666666666674</v>
      </c>
      <c r="T131" s="136">
        <f t="shared" si="35"/>
        <v>0.7373333333333334</v>
      </c>
      <c r="U131" s="26"/>
      <c r="V131" s="27"/>
      <c r="W131" s="27"/>
      <c r="X131" s="27"/>
    </row>
    <row r="132" spans="1:24" s="1" customFormat="1" ht="11.25" customHeight="1" x14ac:dyDescent="0.2">
      <c r="A132" s="85"/>
      <c r="B132" s="85"/>
      <c r="C132" s="137"/>
      <c r="D132" s="137"/>
      <c r="E132" s="137"/>
      <c r="F132" s="80"/>
      <c r="G132" s="81"/>
      <c r="H132" s="79"/>
      <c r="I132" s="79"/>
      <c r="J132" s="81"/>
      <c r="K132" s="81"/>
      <c r="L132" s="81"/>
      <c r="M132" s="213" t="s">
        <v>57</v>
      </c>
      <c r="N132" s="213"/>
      <c r="O132" s="213"/>
      <c r="P132" s="213"/>
      <c r="Q132" s="213"/>
      <c r="R132" s="213"/>
      <c r="S132" s="213"/>
      <c r="T132" s="213"/>
      <c r="U132" s="7"/>
      <c r="V132" s="14"/>
      <c r="W132" s="14"/>
      <c r="X132" s="14"/>
    </row>
    <row r="133" spans="1:24" s="1" customFormat="1" ht="11.25" customHeight="1" x14ac:dyDescent="0.2">
      <c r="A133" s="85"/>
      <c r="B133" s="85"/>
      <c r="C133" s="137"/>
      <c r="D133" s="137"/>
      <c r="E133" s="137"/>
      <c r="F133" s="80"/>
      <c r="G133" s="81"/>
      <c r="H133" s="79"/>
      <c r="I133" s="79"/>
      <c r="J133" s="81"/>
      <c r="K133" s="81"/>
      <c r="L133" s="81"/>
      <c r="M133" s="83"/>
      <c r="N133" s="83"/>
      <c r="O133" s="83"/>
      <c r="P133" s="83"/>
      <c r="Q133" s="83"/>
      <c r="R133" s="83"/>
      <c r="S133" s="83"/>
      <c r="T133" s="83"/>
      <c r="U133" s="7"/>
      <c r="V133" s="14"/>
      <c r="W133" s="14"/>
      <c r="X133" s="14"/>
    </row>
    <row r="134" spans="1:24" s="1" customFormat="1" ht="11.25" customHeight="1" x14ac:dyDescent="0.2">
      <c r="A134" s="209" t="s">
        <v>34</v>
      </c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8"/>
      <c r="V134" s="20"/>
      <c r="W134" s="20"/>
      <c r="X134" s="20"/>
    </row>
    <row r="135" spans="1:24" s="1" customFormat="1" ht="11.25" customHeight="1" x14ac:dyDescent="0.2">
      <c r="A135" s="84" t="s">
        <v>48</v>
      </c>
      <c r="B135" s="85"/>
      <c r="C135" s="85"/>
      <c r="D135" s="79"/>
      <c r="E135" s="79"/>
      <c r="F135" s="82"/>
      <c r="G135" s="181" t="s">
        <v>35</v>
      </c>
      <c r="H135" s="181"/>
      <c r="I135" s="181"/>
      <c r="J135" s="81"/>
      <c r="K135" s="81"/>
      <c r="L135" s="199" t="s">
        <v>1</v>
      </c>
      <c r="M135" s="199"/>
      <c r="N135" s="211" t="str">
        <f>N102</f>
        <v>осенне-зимний</v>
      </c>
      <c r="O135" s="211"/>
      <c r="P135" s="211"/>
      <c r="Q135" s="211"/>
      <c r="R135" s="81"/>
      <c r="S135" s="81"/>
      <c r="T135" s="81"/>
      <c r="U135" s="9"/>
      <c r="V135" s="15"/>
      <c r="W135" s="15"/>
      <c r="X135" s="15"/>
    </row>
    <row r="136" spans="1:24" s="1" customFormat="1" ht="11.25" customHeight="1" x14ac:dyDescent="0.2">
      <c r="A136" s="85"/>
      <c r="B136" s="85"/>
      <c r="C136" s="85"/>
      <c r="D136" s="198" t="s">
        <v>2</v>
      </c>
      <c r="E136" s="198"/>
      <c r="F136" s="198"/>
      <c r="G136" s="86">
        <v>1</v>
      </c>
      <c r="H136" s="81"/>
      <c r="I136" s="79"/>
      <c r="J136" s="79"/>
      <c r="K136" s="79"/>
      <c r="L136" s="198" t="s">
        <v>3</v>
      </c>
      <c r="M136" s="198"/>
      <c r="N136" s="181" t="str">
        <f>N103</f>
        <v>с 7-11 лет;12 и старше</v>
      </c>
      <c r="O136" s="181"/>
      <c r="P136" s="181"/>
      <c r="Q136" s="181"/>
      <c r="R136" s="181"/>
      <c r="S136" s="181"/>
      <c r="T136" s="181"/>
      <c r="U136" s="10"/>
      <c r="V136" s="16"/>
      <c r="W136" s="16"/>
      <c r="X136" s="16"/>
    </row>
    <row r="137" spans="1:24" s="1" customFormat="1" ht="21.75" customHeight="1" x14ac:dyDescent="0.2">
      <c r="A137" s="201" t="s">
        <v>4</v>
      </c>
      <c r="B137" s="182" t="s">
        <v>5</v>
      </c>
      <c r="C137" s="183"/>
      <c r="D137" s="201" t="s">
        <v>6</v>
      </c>
      <c r="E137" s="87"/>
      <c r="F137" s="189" t="s">
        <v>7</v>
      </c>
      <c r="G137" s="190"/>
      <c r="H137" s="191"/>
      <c r="I137" s="201" t="s">
        <v>8</v>
      </c>
      <c r="J137" s="189" t="s">
        <v>9</v>
      </c>
      <c r="K137" s="190"/>
      <c r="L137" s="190"/>
      <c r="M137" s="190"/>
      <c r="N137" s="191"/>
      <c r="O137" s="189" t="s">
        <v>10</v>
      </c>
      <c r="P137" s="190"/>
      <c r="Q137" s="190"/>
      <c r="R137" s="190"/>
      <c r="S137" s="190"/>
      <c r="T137" s="191"/>
      <c r="U137" s="4"/>
      <c r="V137" s="17"/>
      <c r="W137" s="17"/>
      <c r="X137" s="17"/>
    </row>
    <row r="138" spans="1:24" s="1" customFormat="1" ht="21" customHeight="1" x14ac:dyDescent="0.2">
      <c r="A138" s="202"/>
      <c r="B138" s="184"/>
      <c r="C138" s="185"/>
      <c r="D138" s="202"/>
      <c r="E138" s="88"/>
      <c r="F138" s="89" t="s">
        <v>11</v>
      </c>
      <c r="G138" s="90" t="s">
        <v>12</v>
      </c>
      <c r="H138" s="90" t="s">
        <v>13</v>
      </c>
      <c r="I138" s="202"/>
      <c r="J138" s="90" t="s">
        <v>14</v>
      </c>
      <c r="K138" s="90" t="s">
        <v>50</v>
      </c>
      <c r="L138" s="90" t="s">
        <v>15</v>
      </c>
      <c r="M138" s="90" t="s">
        <v>16</v>
      </c>
      <c r="N138" s="90" t="s">
        <v>17</v>
      </c>
      <c r="O138" s="90" t="s">
        <v>18</v>
      </c>
      <c r="P138" s="90" t="s">
        <v>19</v>
      </c>
      <c r="Q138" s="90" t="s">
        <v>51</v>
      </c>
      <c r="R138" s="90" t="s">
        <v>52</v>
      </c>
      <c r="S138" s="90" t="s">
        <v>20</v>
      </c>
      <c r="T138" s="90" t="s">
        <v>21</v>
      </c>
      <c r="U138" s="4"/>
      <c r="V138" s="17"/>
      <c r="W138" s="17"/>
      <c r="X138" s="17"/>
    </row>
    <row r="139" spans="1:24" s="1" customFormat="1" ht="11.25" customHeight="1" x14ac:dyDescent="0.2">
      <c r="A139" s="91">
        <v>1</v>
      </c>
      <c r="B139" s="195">
        <v>2</v>
      </c>
      <c r="C139" s="196"/>
      <c r="D139" s="92">
        <v>3</v>
      </c>
      <c r="E139" s="92"/>
      <c r="F139" s="93">
        <v>4</v>
      </c>
      <c r="G139" s="92">
        <v>5</v>
      </c>
      <c r="H139" s="92">
        <v>6</v>
      </c>
      <c r="I139" s="92">
        <v>7</v>
      </c>
      <c r="J139" s="92">
        <v>8</v>
      </c>
      <c r="K139" s="92">
        <v>9</v>
      </c>
      <c r="L139" s="92">
        <v>10</v>
      </c>
      <c r="M139" s="92">
        <v>11</v>
      </c>
      <c r="N139" s="92">
        <v>12</v>
      </c>
      <c r="O139" s="92">
        <v>13</v>
      </c>
      <c r="P139" s="92">
        <v>14</v>
      </c>
      <c r="Q139" s="92">
        <v>15</v>
      </c>
      <c r="R139" s="92">
        <v>16</v>
      </c>
      <c r="S139" s="92">
        <v>17</v>
      </c>
      <c r="T139" s="92">
        <v>18</v>
      </c>
      <c r="U139" s="5"/>
      <c r="V139" s="18"/>
      <c r="W139" s="18"/>
      <c r="X139" s="18"/>
    </row>
    <row r="140" spans="1:24" s="1" customFormat="1" ht="11.25" customHeight="1" x14ac:dyDescent="0.2">
      <c r="A140" s="222" t="s">
        <v>81</v>
      </c>
      <c r="B140" s="223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4"/>
      <c r="U140" s="6"/>
      <c r="V140" s="19"/>
      <c r="W140" s="19"/>
      <c r="X140" s="19"/>
    </row>
    <row r="141" spans="1:24" s="76" customFormat="1" ht="24.75" customHeight="1" x14ac:dyDescent="0.2">
      <c r="A141" s="91">
        <v>203</v>
      </c>
      <c r="B141" s="193" t="s">
        <v>104</v>
      </c>
      <c r="C141" s="194"/>
      <c r="D141" s="99">
        <v>200</v>
      </c>
      <c r="E141" s="100">
        <v>22.19</v>
      </c>
      <c r="F141" s="100">
        <v>11.17</v>
      </c>
      <c r="G141" s="100">
        <v>10.28</v>
      </c>
      <c r="H141" s="100">
        <v>31.78</v>
      </c>
      <c r="I141" s="100">
        <v>264</v>
      </c>
      <c r="J141" s="100">
        <v>0.108</v>
      </c>
      <c r="K141" s="100">
        <v>3.5999999999999997E-2</v>
      </c>
      <c r="L141" s="100">
        <v>0</v>
      </c>
      <c r="M141" s="103">
        <v>3.5999999999999997E-2</v>
      </c>
      <c r="N141" s="100">
        <v>1.5</v>
      </c>
      <c r="O141" s="100">
        <v>15.936</v>
      </c>
      <c r="P141" s="100">
        <v>55.451999999999998</v>
      </c>
      <c r="Q141" s="100">
        <v>0.93600000000000005</v>
      </c>
      <c r="R141" s="103">
        <v>1.8000000000000002E-3</v>
      </c>
      <c r="S141" s="100">
        <v>10.164000000000001</v>
      </c>
      <c r="T141" s="100">
        <v>1.032</v>
      </c>
      <c r="U141" s="74"/>
      <c r="V141" s="75"/>
      <c r="W141" s="75"/>
      <c r="X141" s="75"/>
    </row>
    <row r="142" spans="1:24" s="76" customFormat="1" ht="12" customHeight="1" x14ac:dyDescent="0.2">
      <c r="A142" s="151" t="s">
        <v>58</v>
      </c>
      <c r="B142" s="210" t="s">
        <v>102</v>
      </c>
      <c r="C142" s="210"/>
      <c r="D142" s="99">
        <v>50</v>
      </c>
      <c r="E142" s="100">
        <v>15</v>
      </c>
      <c r="F142" s="100">
        <v>2.9</v>
      </c>
      <c r="G142" s="100">
        <v>1.75</v>
      </c>
      <c r="H142" s="100">
        <v>21</v>
      </c>
      <c r="I142" s="100">
        <v>109.4</v>
      </c>
      <c r="J142" s="100">
        <v>0.04</v>
      </c>
      <c r="K142" s="100">
        <v>0.02</v>
      </c>
      <c r="L142" s="99">
        <v>10</v>
      </c>
      <c r="M142" s="99">
        <v>0.02</v>
      </c>
      <c r="N142" s="100">
        <v>0.2</v>
      </c>
      <c r="O142" s="100">
        <v>16</v>
      </c>
      <c r="P142" s="100">
        <v>11</v>
      </c>
      <c r="Q142" s="99">
        <v>0.03</v>
      </c>
      <c r="R142" s="99">
        <v>2E-3</v>
      </c>
      <c r="S142" s="100">
        <v>9</v>
      </c>
      <c r="T142" s="100">
        <v>2.2000000000000002</v>
      </c>
      <c r="U142" s="74"/>
      <c r="V142" s="77"/>
      <c r="W142" s="77"/>
      <c r="X142" s="78"/>
    </row>
    <row r="143" spans="1:24" s="76" customFormat="1" ht="22.5" customHeight="1" x14ac:dyDescent="0.2">
      <c r="A143" s="104" t="s">
        <v>58</v>
      </c>
      <c r="B143" s="215" t="s">
        <v>103</v>
      </c>
      <c r="C143" s="216"/>
      <c r="D143" s="105">
        <v>100</v>
      </c>
      <c r="E143" s="119">
        <v>32</v>
      </c>
      <c r="F143" s="119">
        <v>5.86</v>
      </c>
      <c r="G143" s="119">
        <v>16.309999999999999</v>
      </c>
      <c r="H143" s="119">
        <v>3.07</v>
      </c>
      <c r="I143" s="119">
        <v>182.51</v>
      </c>
      <c r="J143" s="119">
        <v>0.14000000000000001</v>
      </c>
      <c r="K143" s="119">
        <v>0.05</v>
      </c>
      <c r="L143" s="119">
        <v>0.09</v>
      </c>
      <c r="M143" s="119">
        <v>0</v>
      </c>
      <c r="N143" s="119">
        <v>0</v>
      </c>
      <c r="O143" s="119">
        <v>9.5399999999999991</v>
      </c>
      <c r="P143" s="119">
        <v>63.38</v>
      </c>
      <c r="Q143" s="119">
        <v>1.1200000000000001</v>
      </c>
      <c r="R143" s="119">
        <v>2.5499999999999998</v>
      </c>
      <c r="S143" s="119">
        <v>11.3</v>
      </c>
      <c r="T143" s="119">
        <v>0.75</v>
      </c>
      <c r="U143" s="74"/>
      <c r="V143" s="75"/>
      <c r="W143" s="75"/>
      <c r="X143" s="75"/>
    </row>
    <row r="144" spans="1:24" s="60" customFormat="1" ht="12.75" customHeight="1" x14ac:dyDescent="0.2">
      <c r="A144" s="91">
        <v>377</v>
      </c>
      <c r="B144" s="210" t="s">
        <v>41</v>
      </c>
      <c r="C144" s="210"/>
      <c r="D144" s="99">
        <v>200</v>
      </c>
      <c r="E144" s="100">
        <v>3.81</v>
      </c>
      <c r="F144" s="100">
        <v>0.26</v>
      </c>
      <c r="G144" s="100">
        <v>0.06</v>
      </c>
      <c r="H144" s="100">
        <v>15.22</v>
      </c>
      <c r="I144" s="100">
        <f>F144*4+G144*9+H144*4</f>
        <v>62.46</v>
      </c>
      <c r="J144" s="100"/>
      <c r="K144" s="100">
        <v>0.01</v>
      </c>
      <c r="L144" s="100">
        <v>2.9</v>
      </c>
      <c r="M144" s="101">
        <v>0</v>
      </c>
      <c r="N144" s="100">
        <v>0.06</v>
      </c>
      <c r="O144" s="100">
        <v>8.0500000000000007</v>
      </c>
      <c r="P144" s="100">
        <v>9.7799999999999994</v>
      </c>
      <c r="Q144" s="100">
        <v>1.7000000000000001E-2</v>
      </c>
      <c r="R144" s="103">
        <v>0</v>
      </c>
      <c r="S144" s="100">
        <v>5.24</v>
      </c>
      <c r="T144" s="100">
        <v>0.87</v>
      </c>
      <c r="U144" s="58"/>
      <c r="V144" s="59"/>
      <c r="W144" s="59"/>
      <c r="X144" s="59"/>
    </row>
    <row r="145" spans="1:24" s="2" customFormat="1" ht="11.25" customHeight="1" x14ac:dyDescent="0.2">
      <c r="A145" s="108" t="s">
        <v>23</v>
      </c>
      <c r="B145" s="109"/>
      <c r="C145" s="109"/>
      <c r="D145" s="110">
        <f t="shared" ref="D145:T145" si="36">SUM(D141:D144)</f>
        <v>550</v>
      </c>
      <c r="E145" s="111">
        <f t="shared" si="36"/>
        <v>73</v>
      </c>
      <c r="F145" s="121">
        <f t="shared" si="36"/>
        <v>20.190000000000001</v>
      </c>
      <c r="G145" s="121">
        <f t="shared" si="36"/>
        <v>28.399999999999995</v>
      </c>
      <c r="H145" s="121">
        <f t="shared" si="36"/>
        <v>71.070000000000007</v>
      </c>
      <c r="I145" s="121">
        <f t="shared" si="36"/>
        <v>618.37</v>
      </c>
      <c r="J145" s="121">
        <f t="shared" si="36"/>
        <v>0.28800000000000003</v>
      </c>
      <c r="K145" s="121">
        <f t="shared" si="36"/>
        <v>0.11599999999999999</v>
      </c>
      <c r="L145" s="121">
        <f t="shared" si="36"/>
        <v>12.99</v>
      </c>
      <c r="M145" s="121">
        <f t="shared" si="36"/>
        <v>5.5999999999999994E-2</v>
      </c>
      <c r="N145" s="121">
        <f t="shared" si="36"/>
        <v>1.76</v>
      </c>
      <c r="O145" s="121">
        <f t="shared" si="36"/>
        <v>49.525999999999996</v>
      </c>
      <c r="P145" s="121">
        <f t="shared" si="36"/>
        <v>139.61199999999999</v>
      </c>
      <c r="Q145" s="121">
        <f t="shared" si="36"/>
        <v>2.1030000000000002</v>
      </c>
      <c r="R145" s="121">
        <f t="shared" si="36"/>
        <v>2.5537999999999998</v>
      </c>
      <c r="S145" s="121">
        <f t="shared" si="36"/>
        <v>35.704000000000001</v>
      </c>
      <c r="T145" s="121">
        <f t="shared" si="36"/>
        <v>4.8520000000000003</v>
      </c>
      <c r="U145" s="23"/>
      <c r="V145" s="24"/>
      <c r="W145" s="24"/>
      <c r="X145" s="24"/>
    </row>
    <row r="146" spans="1:24" s="2" customFormat="1" ht="11.25" customHeight="1" x14ac:dyDescent="0.2">
      <c r="A146" s="206" t="s">
        <v>55</v>
      </c>
      <c r="B146" s="207"/>
      <c r="C146" s="207"/>
      <c r="D146" s="208"/>
      <c r="E146" s="112"/>
      <c r="F146" s="113">
        <f t="shared" ref="F146:T146" si="37">F145/F163</f>
        <v>0.22433333333333336</v>
      </c>
      <c r="G146" s="114">
        <f t="shared" si="37"/>
        <v>0.30869565217391298</v>
      </c>
      <c r="H146" s="114">
        <f t="shared" si="37"/>
        <v>0.18556135770234988</v>
      </c>
      <c r="I146" s="114">
        <f t="shared" si="37"/>
        <v>0.22734191176470589</v>
      </c>
      <c r="J146" s="114">
        <f t="shared" si="37"/>
        <v>0.20571428571428574</v>
      </c>
      <c r="K146" s="114">
        <f t="shared" si="37"/>
        <v>7.2499999999999995E-2</v>
      </c>
      <c r="L146" s="114">
        <f t="shared" si="37"/>
        <v>0.18557142857142858</v>
      </c>
      <c r="M146" s="114">
        <f t="shared" si="37"/>
        <v>6.2222222222222213E-2</v>
      </c>
      <c r="N146" s="114">
        <f t="shared" si="37"/>
        <v>0.14666666666666667</v>
      </c>
      <c r="O146" s="114">
        <f t="shared" si="37"/>
        <v>4.1271666666666665E-2</v>
      </c>
      <c r="P146" s="114">
        <f t="shared" si="37"/>
        <v>0.11634333333333333</v>
      </c>
      <c r="Q146" s="114">
        <f t="shared" si="37"/>
        <v>0.15021428571428572</v>
      </c>
      <c r="R146" s="114">
        <f t="shared" si="37"/>
        <v>25.537999999999997</v>
      </c>
      <c r="S146" s="114">
        <f t="shared" si="37"/>
        <v>0.11901333333333333</v>
      </c>
      <c r="T146" s="115">
        <f t="shared" si="37"/>
        <v>0.26955555555555555</v>
      </c>
      <c r="U146" s="28"/>
      <c r="V146" s="24"/>
      <c r="W146" s="24"/>
      <c r="X146" s="24"/>
    </row>
    <row r="147" spans="1:24" s="2" customFormat="1" ht="11.25" customHeight="1" x14ac:dyDescent="0.2">
      <c r="A147" s="222" t="s">
        <v>24</v>
      </c>
      <c r="B147" s="223"/>
      <c r="C147" s="22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4"/>
      <c r="U147" s="6"/>
      <c r="V147" s="19"/>
      <c r="W147" s="19"/>
      <c r="X147" s="19"/>
    </row>
    <row r="148" spans="1:24" s="61" customFormat="1" ht="21.75" customHeight="1" x14ac:dyDescent="0.2">
      <c r="A148" s="102">
        <v>52</v>
      </c>
      <c r="B148" s="193" t="s">
        <v>109</v>
      </c>
      <c r="C148" s="194"/>
      <c r="D148" s="99">
        <v>80</v>
      </c>
      <c r="E148" s="100">
        <v>20.02</v>
      </c>
      <c r="F148" s="96">
        <v>0.88</v>
      </c>
      <c r="G148" s="96">
        <v>0.16</v>
      </c>
      <c r="H148" s="96">
        <v>3.04</v>
      </c>
      <c r="I148" s="96">
        <v>17.12</v>
      </c>
      <c r="J148" s="100">
        <v>1.6666666666666666E-2</v>
      </c>
      <c r="K148" s="100">
        <v>3.3333333333333333E-2</v>
      </c>
      <c r="L148" s="116">
        <v>9.5</v>
      </c>
      <c r="M148" s="100">
        <v>1.6666666666666666E-2</v>
      </c>
      <c r="N148" s="100">
        <v>0.16666666666666666</v>
      </c>
      <c r="O148" s="100">
        <v>44.35</v>
      </c>
      <c r="P148" s="100">
        <v>42.733333333333334</v>
      </c>
      <c r="Q148" s="100">
        <v>0.71666666666666667</v>
      </c>
      <c r="R148" s="103">
        <v>1.6666666666666666E-2</v>
      </c>
      <c r="S148" s="116">
        <v>21.45</v>
      </c>
      <c r="T148" s="100">
        <v>1.4</v>
      </c>
      <c r="U148" s="58"/>
      <c r="V148" s="59"/>
      <c r="W148" s="59"/>
      <c r="X148" s="59"/>
    </row>
    <row r="149" spans="1:24" s="60" customFormat="1" ht="22.5" customHeight="1" x14ac:dyDescent="0.2">
      <c r="A149" s="104">
        <v>103</v>
      </c>
      <c r="B149" s="197" t="s">
        <v>69</v>
      </c>
      <c r="C149" s="197"/>
      <c r="D149" s="105">
        <v>250</v>
      </c>
      <c r="E149" s="119">
        <v>9.9499999999999993</v>
      </c>
      <c r="F149" s="119">
        <v>12.37</v>
      </c>
      <c r="G149" s="119">
        <v>11.12</v>
      </c>
      <c r="H149" s="119">
        <v>31.5</v>
      </c>
      <c r="I149" s="119">
        <v>275.62</v>
      </c>
      <c r="J149" s="119">
        <v>0.25</v>
      </c>
      <c r="K149" s="119">
        <v>6.3E-2</v>
      </c>
      <c r="L149" s="119">
        <v>8.25</v>
      </c>
      <c r="M149" s="119">
        <v>0</v>
      </c>
      <c r="N149" s="119">
        <v>0</v>
      </c>
      <c r="O149" s="119">
        <v>49.37</v>
      </c>
      <c r="P149" s="119">
        <v>93.37</v>
      </c>
      <c r="Q149" s="119">
        <v>0</v>
      </c>
      <c r="R149" s="119">
        <v>1E-3</v>
      </c>
      <c r="S149" s="119">
        <v>27.25</v>
      </c>
      <c r="T149" s="119">
        <v>0.37</v>
      </c>
      <c r="U149" s="58"/>
      <c r="V149" s="59"/>
      <c r="W149" s="59"/>
      <c r="X149" s="59"/>
    </row>
    <row r="150" spans="1:24" s="60" customFormat="1" ht="22.5" customHeight="1" x14ac:dyDescent="0.2">
      <c r="A150" s="102">
        <v>232</v>
      </c>
      <c r="B150" s="193" t="s">
        <v>79</v>
      </c>
      <c r="C150" s="194"/>
      <c r="D150" s="99">
        <v>100</v>
      </c>
      <c r="E150" s="100">
        <v>34.82</v>
      </c>
      <c r="F150" s="100">
        <v>20.2</v>
      </c>
      <c r="G150" s="100">
        <v>12.07</v>
      </c>
      <c r="H150" s="100">
        <v>2.08</v>
      </c>
      <c r="I150" s="100">
        <v>197.75</v>
      </c>
      <c r="J150" s="100">
        <v>0.2</v>
      </c>
      <c r="K150" s="100">
        <v>0.17</v>
      </c>
      <c r="L150" s="100">
        <v>2.63</v>
      </c>
      <c r="M150" s="103">
        <v>3.125E-2</v>
      </c>
      <c r="N150" s="100">
        <v>0.3</v>
      </c>
      <c r="O150" s="100">
        <v>86.112499999999997</v>
      </c>
      <c r="P150" s="100">
        <v>41.762499999999996</v>
      </c>
      <c r="Q150" s="116">
        <v>0.8</v>
      </c>
      <c r="R150" s="116">
        <v>0.04</v>
      </c>
      <c r="S150" s="100">
        <v>28.962499999999999</v>
      </c>
      <c r="T150" s="100">
        <v>0.91249999999999998</v>
      </c>
      <c r="U150" s="58"/>
      <c r="V150" s="59"/>
      <c r="W150" s="59"/>
      <c r="X150" s="59"/>
    </row>
    <row r="151" spans="1:24" s="60" customFormat="1" ht="19.5" customHeight="1" x14ac:dyDescent="0.2">
      <c r="A151" s="102">
        <v>312</v>
      </c>
      <c r="B151" s="193" t="s">
        <v>43</v>
      </c>
      <c r="C151" s="194"/>
      <c r="D151" s="99">
        <v>180</v>
      </c>
      <c r="E151" s="100">
        <v>19.71</v>
      </c>
      <c r="F151" s="100">
        <v>3.9480000000000004</v>
      </c>
      <c r="G151" s="100">
        <v>8.4719999999999995</v>
      </c>
      <c r="H151" s="100">
        <v>26.652000000000001</v>
      </c>
      <c r="I151" s="100">
        <v>198.648</v>
      </c>
      <c r="J151" s="100">
        <v>0.192</v>
      </c>
      <c r="K151" s="100">
        <v>0.15600000000000003</v>
      </c>
      <c r="L151" s="100">
        <v>0.876</v>
      </c>
      <c r="M151" s="103">
        <v>9.6000000000000002E-2</v>
      </c>
      <c r="N151" s="101">
        <v>1.8</v>
      </c>
      <c r="O151" s="100">
        <v>51.048000000000002</v>
      </c>
      <c r="P151" s="116">
        <v>117.3</v>
      </c>
      <c r="Q151" s="103">
        <v>0.35880000000000001</v>
      </c>
      <c r="R151" s="103">
        <v>1.1999999999999999E-3</v>
      </c>
      <c r="S151" s="100">
        <v>39.672000000000004</v>
      </c>
      <c r="T151" s="100">
        <v>1.4279999999999999</v>
      </c>
      <c r="U151" s="58"/>
      <c r="V151" s="59"/>
      <c r="W151" s="59"/>
      <c r="X151" s="59"/>
    </row>
    <row r="152" spans="1:24" s="60" customFormat="1" x14ac:dyDescent="0.2">
      <c r="A152" s="104">
        <v>345</v>
      </c>
      <c r="B152" s="197" t="s">
        <v>44</v>
      </c>
      <c r="C152" s="197"/>
      <c r="D152" s="118">
        <v>200</v>
      </c>
      <c r="E152" s="119">
        <v>4.9000000000000004</v>
      </c>
      <c r="F152" s="119">
        <v>0.06</v>
      </c>
      <c r="G152" s="119">
        <v>0.02</v>
      </c>
      <c r="H152" s="119">
        <v>20.73</v>
      </c>
      <c r="I152" s="119">
        <v>83.34</v>
      </c>
      <c r="J152" s="119">
        <v>0</v>
      </c>
      <c r="K152" s="119">
        <v>0</v>
      </c>
      <c r="L152" s="119">
        <v>2.5</v>
      </c>
      <c r="M152" s="119">
        <v>4.0000000000000001E-3</v>
      </c>
      <c r="N152" s="119">
        <v>0.2</v>
      </c>
      <c r="O152" s="119">
        <v>4</v>
      </c>
      <c r="P152" s="119">
        <v>3.3</v>
      </c>
      <c r="Q152" s="119">
        <v>0.08</v>
      </c>
      <c r="R152" s="119">
        <v>1E-3</v>
      </c>
      <c r="S152" s="119">
        <v>1.7</v>
      </c>
      <c r="T152" s="119">
        <v>0.15</v>
      </c>
      <c r="U152" s="58"/>
      <c r="V152" s="59"/>
      <c r="W152" s="59"/>
      <c r="X152" s="59"/>
    </row>
    <row r="153" spans="1:24" s="60" customFormat="1" ht="11.25" customHeight="1" x14ac:dyDescent="0.2">
      <c r="A153" s="120" t="s">
        <v>58</v>
      </c>
      <c r="B153" s="193" t="s">
        <v>42</v>
      </c>
      <c r="C153" s="194"/>
      <c r="D153" s="99">
        <v>40</v>
      </c>
      <c r="E153" s="100">
        <v>2.08</v>
      </c>
      <c r="F153" s="100">
        <f>2.64*D153/40</f>
        <v>2.64</v>
      </c>
      <c r="G153" s="100">
        <f>0.48*D153/40</f>
        <v>0.48</v>
      </c>
      <c r="H153" s="100">
        <f>13.68*D153/40</f>
        <v>13.680000000000001</v>
      </c>
      <c r="I153" s="116">
        <f>F153*4+G153*9+H153*4</f>
        <v>69.600000000000009</v>
      </c>
      <c r="J153" s="101">
        <f>0.08*D153/40</f>
        <v>0.08</v>
      </c>
      <c r="K153" s="100">
        <f>0.04*D153/40</f>
        <v>0.04</v>
      </c>
      <c r="L153" s="99">
        <v>0</v>
      </c>
      <c r="M153" s="99">
        <v>0</v>
      </c>
      <c r="N153" s="100">
        <f>2.4*D153/40</f>
        <v>2.4</v>
      </c>
      <c r="O153" s="100">
        <f>14*D153/40</f>
        <v>14</v>
      </c>
      <c r="P153" s="100">
        <f>63.2*D153/40</f>
        <v>63.2</v>
      </c>
      <c r="Q153" s="100">
        <f>1.2*D153/40</f>
        <v>1.2</v>
      </c>
      <c r="R153" s="103">
        <f>0.001*D153/40</f>
        <v>1E-3</v>
      </c>
      <c r="S153" s="100">
        <f>9.4*D153/40</f>
        <v>9.4</v>
      </c>
      <c r="T153" s="101">
        <f>0.78*D153/40</f>
        <v>0.78</v>
      </c>
      <c r="U153" s="66"/>
      <c r="V153" s="67"/>
      <c r="W153" s="67"/>
      <c r="X153" s="67"/>
    </row>
    <row r="154" spans="1:24" s="60" customFormat="1" ht="11.25" customHeight="1" x14ac:dyDescent="0.2">
      <c r="A154" s="102" t="s">
        <v>58</v>
      </c>
      <c r="B154" s="193" t="s">
        <v>47</v>
      </c>
      <c r="C154" s="194"/>
      <c r="D154" s="99">
        <v>30</v>
      </c>
      <c r="E154" s="100">
        <v>2.52</v>
      </c>
      <c r="F154" s="100">
        <f>1.52*D154/30</f>
        <v>1.52</v>
      </c>
      <c r="G154" s="103">
        <f>0.16*D154/30</f>
        <v>0.16</v>
      </c>
      <c r="H154" s="103">
        <f>9.84*D154/30</f>
        <v>9.84</v>
      </c>
      <c r="I154" s="103">
        <f>F154*4+G154*9+H154*4</f>
        <v>46.879999999999995</v>
      </c>
      <c r="J154" s="103">
        <f>0.02*D154/30</f>
        <v>0.02</v>
      </c>
      <c r="K154" s="103">
        <f>0.01*D154/30</f>
        <v>0.01</v>
      </c>
      <c r="L154" s="103">
        <f>0.44*D154/30</f>
        <v>0.44</v>
      </c>
      <c r="M154" s="103">
        <v>0</v>
      </c>
      <c r="N154" s="103">
        <f>0.7*D154/30</f>
        <v>0.7</v>
      </c>
      <c r="O154" s="103">
        <f>4*D154/30</f>
        <v>4</v>
      </c>
      <c r="P154" s="103">
        <f>13*D154/30</f>
        <v>13</v>
      </c>
      <c r="Q154" s="103">
        <f>0.008*D154/30</f>
        <v>8.0000000000000002E-3</v>
      </c>
      <c r="R154" s="103">
        <f>0.001*D154/30</f>
        <v>1E-3</v>
      </c>
      <c r="S154" s="103">
        <v>0</v>
      </c>
      <c r="T154" s="103">
        <f>0.22*D154/30</f>
        <v>0.22</v>
      </c>
      <c r="U154" s="58"/>
      <c r="V154" s="59"/>
      <c r="W154" s="59"/>
      <c r="X154" s="59"/>
    </row>
    <row r="155" spans="1:24" s="2" customFormat="1" ht="11.25" customHeight="1" x14ac:dyDescent="0.2">
      <c r="A155" s="108" t="s">
        <v>25</v>
      </c>
      <c r="B155" s="109"/>
      <c r="C155" s="109"/>
      <c r="D155" s="110">
        <f t="shared" ref="D155:I155" si="38">SUM(D148:D154)</f>
        <v>880</v>
      </c>
      <c r="E155" s="111">
        <f t="shared" si="38"/>
        <v>94</v>
      </c>
      <c r="F155" s="121">
        <f t="shared" si="38"/>
        <v>41.618000000000009</v>
      </c>
      <c r="G155" s="122">
        <f t="shared" si="38"/>
        <v>32.481999999999999</v>
      </c>
      <c r="H155" s="122">
        <f t="shared" si="38"/>
        <v>107.52200000000001</v>
      </c>
      <c r="I155" s="122">
        <f t="shared" si="38"/>
        <v>888.95800000000008</v>
      </c>
      <c r="J155" s="121">
        <f t="shared" ref="J155:T155" si="39">SUM(J148:J154)</f>
        <v>0.75866666666666671</v>
      </c>
      <c r="K155" s="121">
        <f t="shared" si="39"/>
        <v>0.47233333333333333</v>
      </c>
      <c r="L155" s="122">
        <f t="shared" si="39"/>
        <v>24.196000000000002</v>
      </c>
      <c r="M155" s="121">
        <f t="shared" si="39"/>
        <v>0.14791666666666667</v>
      </c>
      <c r="N155" s="124">
        <f t="shared" si="39"/>
        <v>5.5666666666666673</v>
      </c>
      <c r="O155" s="121">
        <f t="shared" si="39"/>
        <v>252.88049999999998</v>
      </c>
      <c r="P155" s="122">
        <f t="shared" si="39"/>
        <v>374.66583333333335</v>
      </c>
      <c r="Q155" s="122">
        <f t="shared" si="39"/>
        <v>3.1634666666666664</v>
      </c>
      <c r="R155" s="121">
        <f t="shared" si="39"/>
        <v>6.1866666666666674E-2</v>
      </c>
      <c r="S155" s="122">
        <f t="shared" si="39"/>
        <v>128.43449999999999</v>
      </c>
      <c r="T155" s="121">
        <f t="shared" si="39"/>
        <v>5.2605000000000004</v>
      </c>
      <c r="U155" s="23"/>
      <c r="V155" s="24"/>
      <c r="W155" s="24"/>
      <c r="X155" s="24"/>
    </row>
    <row r="156" spans="1:24" s="2" customFormat="1" ht="11.25" customHeight="1" x14ac:dyDescent="0.2">
      <c r="A156" s="206" t="s">
        <v>55</v>
      </c>
      <c r="B156" s="207"/>
      <c r="C156" s="207"/>
      <c r="D156" s="208"/>
      <c r="E156" s="112"/>
      <c r="F156" s="113">
        <f t="shared" ref="F156:T156" si="40">F155/F163</f>
        <v>0.46242222222222235</v>
      </c>
      <c r="G156" s="114">
        <f t="shared" si="40"/>
        <v>0.35306521739130436</v>
      </c>
      <c r="H156" s="114">
        <f t="shared" si="40"/>
        <v>0.28073629242819848</v>
      </c>
      <c r="I156" s="114">
        <f t="shared" si="40"/>
        <v>0.32682279411764709</v>
      </c>
      <c r="J156" s="114">
        <f t="shared" si="40"/>
        <v>0.541904761904762</v>
      </c>
      <c r="K156" s="114">
        <f t="shared" si="40"/>
        <v>0.29520833333333329</v>
      </c>
      <c r="L156" s="114">
        <f t="shared" si="40"/>
        <v>0.34565714285714289</v>
      </c>
      <c r="M156" s="114">
        <f t="shared" si="40"/>
        <v>0.16435185185185186</v>
      </c>
      <c r="N156" s="114">
        <f t="shared" si="40"/>
        <v>0.46388888888888896</v>
      </c>
      <c r="O156" s="114">
        <f t="shared" si="40"/>
        <v>0.21073375</v>
      </c>
      <c r="P156" s="114">
        <f t="shared" si="40"/>
        <v>0.31222152777777779</v>
      </c>
      <c r="Q156" s="114">
        <f t="shared" si="40"/>
        <v>0.22596190476190475</v>
      </c>
      <c r="R156" s="114">
        <f t="shared" si="40"/>
        <v>0.6186666666666667</v>
      </c>
      <c r="S156" s="114">
        <f t="shared" si="40"/>
        <v>0.42811499999999997</v>
      </c>
      <c r="T156" s="115">
        <f t="shared" si="40"/>
        <v>0.29225000000000001</v>
      </c>
      <c r="U156" s="28"/>
      <c r="V156" s="24"/>
      <c r="W156" s="24"/>
      <c r="X156" s="24"/>
    </row>
    <row r="157" spans="1:24" s="2" customFormat="1" ht="11.25" customHeight="1" x14ac:dyDescent="0.2">
      <c r="A157" s="222" t="s">
        <v>26</v>
      </c>
      <c r="B157" s="223"/>
      <c r="C157" s="223"/>
      <c r="D157" s="223"/>
      <c r="E157" s="223"/>
      <c r="F157" s="223"/>
      <c r="G157" s="223"/>
      <c r="H157" s="223"/>
      <c r="I157" s="223"/>
      <c r="J157" s="223"/>
      <c r="K157" s="223"/>
      <c r="L157" s="223"/>
      <c r="M157" s="223"/>
      <c r="N157" s="223"/>
      <c r="O157" s="223"/>
      <c r="P157" s="223"/>
      <c r="Q157" s="223"/>
      <c r="R157" s="223"/>
      <c r="S157" s="223"/>
      <c r="T157" s="224"/>
      <c r="U157" s="6"/>
      <c r="V157" s="19"/>
      <c r="W157" s="19"/>
      <c r="X157" s="19"/>
    </row>
    <row r="158" spans="1:24" s="42" customFormat="1" ht="12" customHeight="1" x14ac:dyDescent="0.2">
      <c r="A158" s="125"/>
      <c r="B158" s="205"/>
      <c r="C158" s="205"/>
      <c r="D158" s="126"/>
      <c r="E158" s="127"/>
      <c r="F158" s="127"/>
      <c r="G158" s="130"/>
      <c r="H158" s="130"/>
      <c r="I158" s="127"/>
      <c r="J158" s="127"/>
      <c r="K158" s="127"/>
      <c r="L158" s="127"/>
      <c r="M158" s="129"/>
      <c r="N158" s="130"/>
      <c r="O158" s="127"/>
      <c r="P158" s="127"/>
      <c r="Q158" s="127"/>
      <c r="R158" s="128"/>
      <c r="S158" s="127"/>
      <c r="T158" s="127"/>
    </row>
    <row r="159" spans="1:24" s="42" customFormat="1" ht="12" customHeight="1" x14ac:dyDescent="0.2">
      <c r="A159" s="131"/>
      <c r="B159" s="197"/>
      <c r="C159" s="197"/>
      <c r="D159" s="118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4" s="1" customFormat="1" ht="11.25" customHeight="1" x14ac:dyDescent="0.2">
      <c r="A160" s="108" t="s">
        <v>27</v>
      </c>
      <c r="B160" s="109"/>
      <c r="C160" s="109"/>
      <c r="D160" s="110">
        <f t="shared" ref="D160:I160" si="41">SUM(D158:D159)</f>
        <v>0</v>
      </c>
      <c r="E160" s="111">
        <f t="shared" si="41"/>
        <v>0</v>
      </c>
      <c r="F160" s="121">
        <f t="shared" si="41"/>
        <v>0</v>
      </c>
      <c r="G160" s="122">
        <f t="shared" si="41"/>
        <v>0</v>
      </c>
      <c r="H160" s="122">
        <f t="shared" si="41"/>
        <v>0</v>
      </c>
      <c r="I160" s="122">
        <f t="shared" si="41"/>
        <v>0</v>
      </c>
      <c r="J160" s="121">
        <f t="shared" ref="J160:T160" si="42">SUM(J158:J159)</f>
        <v>0</v>
      </c>
      <c r="K160" s="121">
        <f t="shared" si="42"/>
        <v>0</v>
      </c>
      <c r="L160" s="121">
        <f t="shared" si="42"/>
        <v>0</v>
      </c>
      <c r="M160" s="121">
        <f t="shared" si="42"/>
        <v>0</v>
      </c>
      <c r="N160" s="124">
        <f t="shared" si="42"/>
        <v>0</v>
      </c>
      <c r="O160" s="121">
        <f t="shared" si="42"/>
        <v>0</v>
      </c>
      <c r="P160" s="121">
        <f t="shared" si="42"/>
        <v>0</v>
      </c>
      <c r="Q160" s="121">
        <f t="shared" si="42"/>
        <v>0</v>
      </c>
      <c r="R160" s="121">
        <f t="shared" si="42"/>
        <v>0</v>
      </c>
      <c r="S160" s="121">
        <f t="shared" si="42"/>
        <v>0</v>
      </c>
      <c r="T160" s="121">
        <f t="shared" si="42"/>
        <v>0</v>
      </c>
      <c r="U160" s="23"/>
      <c r="V160" s="24"/>
      <c r="W160" s="24"/>
      <c r="X160" s="24"/>
    </row>
    <row r="161" spans="1:24" s="1" customFormat="1" ht="11.25" customHeight="1" x14ac:dyDescent="0.2">
      <c r="A161" s="206" t="s">
        <v>55</v>
      </c>
      <c r="B161" s="207"/>
      <c r="C161" s="207"/>
      <c r="D161" s="208"/>
      <c r="E161" s="132"/>
      <c r="F161" s="121">
        <f>F160/F163</f>
        <v>0</v>
      </c>
      <c r="G161" s="115">
        <f t="shared" ref="G161:T161" si="43">G160/G163</f>
        <v>0</v>
      </c>
      <c r="H161" s="115">
        <f t="shared" si="43"/>
        <v>0</v>
      </c>
      <c r="I161" s="115">
        <f t="shared" si="43"/>
        <v>0</v>
      </c>
      <c r="J161" s="115">
        <f t="shared" si="43"/>
        <v>0</v>
      </c>
      <c r="K161" s="115">
        <f t="shared" si="43"/>
        <v>0</v>
      </c>
      <c r="L161" s="115">
        <f t="shared" si="43"/>
        <v>0</v>
      </c>
      <c r="M161" s="115">
        <f t="shared" si="43"/>
        <v>0</v>
      </c>
      <c r="N161" s="115">
        <f t="shared" si="43"/>
        <v>0</v>
      </c>
      <c r="O161" s="115">
        <f t="shared" si="43"/>
        <v>0</v>
      </c>
      <c r="P161" s="115">
        <f t="shared" si="43"/>
        <v>0</v>
      </c>
      <c r="Q161" s="115">
        <f t="shared" si="43"/>
        <v>0</v>
      </c>
      <c r="R161" s="115">
        <f t="shared" si="43"/>
        <v>0</v>
      </c>
      <c r="S161" s="115">
        <f t="shared" si="43"/>
        <v>0</v>
      </c>
      <c r="T161" s="115">
        <f t="shared" si="43"/>
        <v>0</v>
      </c>
      <c r="U161" s="28"/>
      <c r="V161" s="24"/>
      <c r="W161" s="24"/>
      <c r="X161" s="24"/>
    </row>
    <row r="162" spans="1:24" s="1" customFormat="1" ht="11.25" customHeight="1" x14ac:dyDescent="0.2">
      <c r="A162" s="108" t="s">
        <v>54</v>
      </c>
      <c r="B162" s="109"/>
      <c r="C162" s="109"/>
      <c r="D162" s="133">
        <f>D155+D145</f>
        <v>1430</v>
      </c>
      <c r="E162" s="134">
        <f>E145+E155</f>
        <v>167</v>
      </c>
      <c r="F162" s="121">
        <f t="shared" ref="F162:T162" si="44">SUM(F145,F155,F160)</f>
        <v>61.808000000000007</v>
      </c>
      <c r="G162" s="122">
        <f t="shared" si="44"/>
        <v>60.881999999999991</v>
      </c>
      <c r="H162" s="122">
        <f t="shared" si="44"/>
        <v>178.59200000000001</v>
      </c>
      <c r="I162" s="122">
        <f t="shared" si="44"/>
        <v>1507.328</v>
      </c>
      <c r="J162" s="121">
        <f t="shared" si="44"/>
        <v>1.0466666666666669</v>
      </c>
      <c r="K162" s="121">
        <f t="shared" si="44"/>
        <v>0.58833333333333337</v>
      </c>
      <c r="L162" s="122">
        <f t="shared" si="44"/>
        <v>37.186</v>
      </c>
      <c r="M162" s="121">
        <f t="shared" si="44"/>
        <v>0.20391666666666666</v>
      </c>
      <c r="N162" s="121">
        <f t="shared" si="44"/>
        <v>7.3266666666666671</v>
      </c>
      <c r="O162" s="122">
        <f t="shared" si="44"/>
        <v>302.40649999999999</v>
      </c>
      <c r="P162" s="122">
        <f t="shared" si="44"/>
        <v>514.27783333333332</v>
      </c>
      <c r="Q162" s="121">
        <f t="shared" si="44"/>
        <v>5.2664666666666662</v>
      </c>
      <c r="R162" s="124">
        <f t="shared" si="44"/>
        <v>2.6156666666666664</v>
      </c>
      <c r="S162" s="121">
        <f t="shared" si="44"/>
        <v>164.13849999999999</v>
      </c>
      <c r="T162" s="121">
        <f t="shared" si="44"/>
        <v>10.112500000000001</v>
      </c>
      <c r="U162" s="25"/>
      <c r="V162" s="24"/>
      <c r="W162" s="24"/>
      <c r="X162" s="24"/>
    </row>
    <row r="163" spans="1:24" s="1" customFormat="1" ht="11.25" customHeight="1" x14ac:dyDescent="0.2">
      <c r="A163" s="186" t="s">
        <v>56</v>
      </c>
      <c r="B163" s="187"/>
      <c r="C163" s="187"/>
      <c r="D163" s="188"/>
      <c r="E163" s="135"/>
      <c r="F163" s="100">
        <v>90</v>
      </c>
      <c r="G163" s="116">
        <v>92</v>
      </c>
      <c r="H163" s="116">
        <v>383</v>
      </c>
      <c r="I163" s="116">
        <v>2720</v>
      </c>
      <c r="J163" s="100">
        <v>1.4</v>
      </c>
      <c r="K163" s="100">
        <v>1.6</v>
      </c>
      <c r="L163" s="99">
        <v>70</v>
      </c>
      <c r="M163" s="100">
        <v>0.9</v>
      </c>
      <c r="N163" s="99">
        <v>12</v>
      </c>
      <c r="O163" s="99">
        <v>1200</v>
      </c>
      <c r="P163" s="99">
        <v>1200</v>
      </c>
      <c r="Q163" s="99">
        <v>14</v>
      </c>
      <c r="R163" s="116">
        <v>0.1</v>
      </c>
      <c r="S163" s="99">
        <v>300</v>
      </c>
      <c r="T163" s="100">
        <v>18</v>
      </c>
      <c r="U163" s="34"/>
      <c r="V163" s="35"/>
      <c r="W163" s="35"/>
      <c r="X163" s="35"/>
    </row>
    <row r="164" spans="1:24" s="1" customFormat="1" ht="11.25" customHeight="1" x14ac:dyDescent="0.2">
      <c r="A164" s="206" t="s">
        <v>55</v>
      </c>
      <c r="B164" s="207"/>
      <c r="C164" s="207"/>
      <c r="D164" s="208"/>
      <c r="E164" s="132"/>
      <c r="F164" s="114">
        <f t="shared" ref="F164:T164" si="45">F162/F163</f>
        <v>0.68675555555555567</v>
      </c>
      <c r="G164" s="115">
        <f t="shared" si="45"/>
        <v>0.66176086956521729</v>
      </c>
      <c r="H164" s="115">
        <f t="shared" si="45"/>
        <v>0.46629765013054836</v>
      </c>
      <c r="I164" s="115">
        <f t="shared" si="45"/>
        <v>0.55416470588235289</v>
      </c>
      <c r="J164" s="115">
        <f t="shared" si="45"/>
        <v>0.74761904761904785</v>
      </c>
      <c r="K164" s="115">
        <f t="shared" si="45"/>
        <v>0.36770833333333336</v>
      </c>
      <c r="L164" s="115">
        <f t="shared" si="45"/>
        <v>0.53122857142857138</v>
      </c>
      <c r="M164" s="136">
        <f t="shared" si="45"/>
        <v>0.22657407407407407</v>
      </c>
      <c r="N164" s="115">
        <f t="shared" si="45"/>
        <v>0.61055555555555563</v>
      </c>
      <c r="O164" s="115">
        <f t="shared" si="45"/>
        <v>0.25200541666666665</v>
      </c>
      <c r="P164" s="115">
        <f t="shared" si="45"/>
        <v>0.42856486111111108</v>
      </c>
      <c r="Q164" s="115">
        <f t="shared" si="45"/>
        <v>0.37617619047619044</v>
      </c>
      <c r="R164" s="136">
        <f t="shared" si="45"/>
        <v>26.156666666666663</v>
      </c>
      <c r="S164" s="115">
        <f t="shared" si="45"/>
        <v>0.54712833333333333</v>
      </c>
      <c r="T164" s="136">
        <f t="shared" si="45"/>
        <v>0.56180555555555556</v>
      </c>
      <c r="U164" s="26"/>
      <c r="V164" s="27"/>
      <c r="W164" s="27"/>
      <c r="X164" s="27"/>
    </row>
    <row r="165" spans="1:24" s="1" customFormat="1" ht="11.25" customHeight="1" x14ac:dyDescent="0.2">
      <c r="A165" s="163"/>
      <c r="B165" s="85"/>
      <c r="C165" s="85"/>
      <c r="D165" s="81"/>
      <c r="E165" s="81"/>
      <c r="F165" s="82"/>
      <c r="G165" s="81"/>
      <c r="H165" s="81"/>
      <c r="I165" s="81"/>
      <c r="J165" s="81"/>
      <c r="K165" s="81"/>
      <c r="L165" s="81"/>
      <c r="M165" s="213" t="s">
        <v>57</v>
      </c>
      <c r="N165" s="213"/>
      <c r="O165" s="213"/>
      <c r="P165" s="213"/>
      <c r="Q165" s="213"/>
      <c r="R165" s="213"/>
      <c r="S165" s="213"/>
      <c r="T165" s="213"/>
      <c r="U165" s="7"/>
      <c r="V165" s="14"/>
      <c r="W165" s="14"/>
      <c r="X165" s="14"/>
    </row>
    <row r="166" spans="1:24" s="2" customFormat="1" ht="11.25" customHeight="1" x14ac:dyDescent="0.2">
      <c r="A166" s="209" t="s">
        <v>36</v>
      </c>
      <c r="B166" s="209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8"/>
      <c r="V166" s="20"/>
      <c r="W166" s="20"/>
      <c r="X166" s="20"/>
    </row>
    <row r="167" spans="1:24" s="2" customFormat="1" ht="11.25" customHeight="1" x14ac:dyDescent="0.2">
      <c r="A167" s="84" t="s">
        <v>48</v>
      </c>
      <c r="B167" s="85"/>
      <c r="C167" s="85"/>
      <c r="D167" s="79"/>
      <c r="E167" s="79"/>
      <c r="F167" s="82"/>
      <c r="G167" s="181" t="s">
        <v>0</v>
      </c>
      <c r="H167" s="181"/>
      <c r="I167" s="181"/>
      <c r="J167" s="81"/>
      <c r="K167" s="81"/>
      <c r="L167" s="199" t="s">
        <v>1</v>
      </c>
      <c r="M167" s="199"/>
      <c r="N167" s="211" t="str">
        <f>N135</f>
        <v>осенне-зимний</v>
      </c>
      <c r="O167" s="211"/>
      <c r="P167" s="211"/>
      <c r="Q167" s="211"/>
      <c r="R167" s="81"/>
      <c r="S167" s="81"/>
      <c r="T167" s="81"/>
      <c r="U167" s="9"/>
      <c r="V167" s="15"/>
      <c r="W167" s="15"/>
      <c r="X167" s="15"/>
    </row>
    <row r="168" spans="1:24" s="2" customFormat="1" ht="11.25" customHeight="1" x14ac:dyDescent="0.2">
      <c r="A168" s="85"/>
      <c r="B168" s="85"/>
      <c r="C168" s="85"/>
      <c r="D168" s="198" t="s">
        <v>2</v>
      </c>
      <c r="E168" s="198"/>
      <c r="F168" s="198"/>
      <c r="G168" s="86">
        <v>2</v>
      </c>
      <c r="H168" s="81"/>
      <c r="I168" s="79"/>
      <c r="J168" s="79"/>
      <c r="K168" s="79"/>
      <c r="L168" s="198" t="s">
        <v>3</v>
      </c>
      <c r="M168" s="198"/>
      <c r="N168" s="181" t="str">
        <f>N136</f>
        <v>с 7-11 лет;12 и старше</v>
      </c>
      <c r="O168" s="181"/>
      <c r="P168" s="181"/>
      <c r="Q168" s="181"/>
      <c r="R168" s="181"/>
      <c r="S168" s="181"/>
      <c r="T168" s="181"/>
      <c r="U168" s="10"/>
      <c r="V168" s="16"/>
      <c r="W168" s="16"/>
      <c r="X168" s="16"/>
    </row>
    <row r="169" spans="1:24" s="1" customFormat="1" ht="21.75" customHeight="1" x14ac:dyDescent="0.2">
      <c r="A169" s="201" t="s">
        <v>4</v>
      </c>
      <c r="B169" s="182" t="s">
        <v>5</v>
      </c>
      <c r="C169" s="183"/>
      <c r="D169" s="201" t="s">
        <v>6</v>
      </c>
      <c r="E169" s="87"/>
      <c r="F169" s="189" t="s">
        <v>7</v>
      </c>
      <c r="G169" s="190"/>
      <c r="H169" s="191"/>
      <c r="I169" s="201" t="s">
        <v>8</v>
      </c>
      <c r="J169" s="189" t="s">
        <v>9</v>
      </c>
      <c r="K169" s="190"/>
      <c r="L169" s="190"/>
      <c r="M169" s="190"/>
      <c r="N169" s="191"/>
      <c r="O169" s="189" t="s">
        <v>10</v>
      </c>
      <c r="P169" s="190"/>
      <c r="Q169" s="190"/>
      <c r="R169" s="190"/>
      <c r="S169" s="190"/>
      <c r="T169" s="191"/>
      <c r="U169" s="4"/>
      <c r="V169" s="17"/>
      <c r="W169" s="17"/>
      <c r="X169" s="17"/>
    </row>
    <row r="170" spans="1:24" s="1" customFormat="1" ht="21" customHeight="1" x14ac:dyDescent="0.2">
      <c r="A170" s="202"/>
      <c r="B170" s="184"/>
      <c r="C170" s="185"/>
      <c r="D170" s="202"/>
      <c r="E170" s="88"/>
      <c r="F170" s="89" t="s">
        <v>11</v>
      </c>
      <c r="G170" s="90" t="s">
        <v>12</v>
      </c>
      <c r="H170" s="90" t="s">
        <v>13</v>
      </c>
      <c r="I170" s="202"/>
      <c r="J170" s="90" t="s">
        <v>14</v>
      </c>
      <c r="K170" s="90" t="s">
        <v>50</v>
      </c>
      <c r="L170" s="90" t="s">
        <v>15</v>
      </c>
      <c r="M170" s="90" t="s">
        <v>16</v>
      </c>
      <c r="N170" s="90" t="s">
        <v>17</v>
      </c>
      <c r="O170" s="90" t="s">
        <v>18</v>
      </c>
      <c r="P170" s="90" t="s">
        <v>19</v>
      </c>
      <c r="Q170" s="90" t="s">
        <v>51</v>
      </c>
      <c r="R170" s="90" t="s">
        <v>53</v>
      </c>
      <c r="S170" s="90" t="s">
        <v>20</v>
      </c>
      <c r="T170" s="90" t="s">
        <v>21</v>
      </c>
      <c r="U170" s="4"/>
      <c r="V170" s="17"/>
      <c r="W170" s="17"/>
      <c r="X170" s="17"/>
    </row>
    <row r="171" spans="1:24" s="1" customFormat="1" ht="11.25" customHeight="1" x14ac:dyDescent="0.2">
      <c r="A171" s="91">
        <v>1</v>
      </c>
      <c r="B171" s="195">
        <v>2</v>
      </c>
      <c r="C171" s="196"/>
      <c r="D171" s="92">
        <v>3</v>
      </c>
      <c r="E171" s="92"/>
      <c r="F171" s="93">
        <v>4</v>
      </c>
      <c r="G171" s="92">
        <v>5</v>
      </c>
      <c r="H171" s="92">
        <v>6</v>
      </c>
      <c r="I171" s="92">
        <v>7</v>
      </c>
      <c r="J171" s="92">
        <v>8</v>
      </c>
      <c r="K171" s="92">
        <v>9</v>
      </c>
      <c r="L171" s="92">
        <v>10</v>
      </c>
      <c r="M171" s="92">
        <v>11</v>
      </c>
      <c r="N171" s="92">
        <v>12</v>
      </c>
      <c r="O171" s="92">
        <v>13</v>
      </c>
      <c r="P171" s="92">
        <v>14</v>
      </c>
      <c r="Q171" s="92">
        <v>15</v>
      </c>
      <c r="R171" s="92">
        <v>16</v>
      </c>
      <c r="S171" s="92">
        <v>17</v>
      </c>
      <c r="T171" s="92">
        <v>18</v>
      </c>
      <c r="U171" s="5"/>
      <c r="V171" s="18"/>
      <c r="W171" s="18"/>
      <c r="X171" s="18"/>
    </row>
    <row r="172" spans="1:24" s="1" customFormat="1" ht="11.25" customHeight="1" x14ac:dyDescent="0.2">
      <c r="A172" s="222" t="s">
        <v>81</v>
      </c>
      <c r="B172" s="223"/>
      <c r="C172" s="223"/>
      <c r="D172" s="223"/>
      <c r="E172" s="223"/>
      <c r="F172" s="223"/>
      <c r="G172" s="223"/>
      <c r="H172" s="223"/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4"/>
      <c r="U172" s="6"/>
      <c r="V172" s="19"/>
      <c r="W172" s="19"/>
      <c r="X172" s="19"/>
    </row>
    <row r="173" spans="1:24" s="76" customFormat="1" ht="20.25" customHeight="1" x14ac:dyDescent="0.2">
      <c r="A173" s="94">
        <v>54</v>
      </c>
      <c r="B173" s="193" t="s">
        <v>106</v>
      </c>
      <c r="C173" s="194"/>
      <c r="D173" s="95">
        <v>60</v>
      </c>
      <c r="E173" s="95">
        <v>18.16</v>
      </c>
      <c r="F173" s="96">
        <v>4.5999999999999996</v>
      </c>
      <c r="G173" s="96">
        <v>0.2</v>
      </c>
      <c r="H173" s="96">
        <v>5.6</v>
      </c>
      <c r="I173" s="96">
        <v>29</v>
      </c>
      <c r="J173" s="97">
        <v>2.4E-2</v>
      </c>
      <c r="K173" s="96">
        <v>0</v>
      </c>
      <c r="L173" s="98">
        <v>2.4</v>
      </c>
      <c r="M173" s="97">
        <v>0</v>
      </c>
      <c r="N173" s="95">
        <v>0</v>
      </c>
      <c r="O173" s="96">
        <v>21</v>
      </c>
      <c r="P173" s="96">
        <v>20.5</v>
      </c>
      <c r="Q173" s="97">
        <v>0</v>
      </c>
      <c r="R173" s="97">
        <v>0</v>
      </c>
      <c r="S173" s="96">
        <v>6.5</v>
      </c>
      <c r="T173" s="96">
        <v>0.14000000000000001</v>
      </c>
      <c r="U173" s="62"/>
      <c r="V173" s="63"/>
      <c r="W173" s="63"/>
      <c r="X173" s="63"/>
    </row>
    <row r="174" spans="1:24" s="60" customFormat="1" ht="12" customHeight="1" x14ac:dyDescent="0.2">
      <c r="A174" s="91">
        <v>291</v>
      </c>
      <c r="B174" s="193" t="s">
        <v>45</v>
      </c>
      <c r="C174" s="194"/>
      <c r="D174" s="99">
        <v>220</v>
      </c>
      <c r="E174" s="100">
        <v>48.51</v>
      </c>
      <c r="F174" s="100">
        <v>20.492999999999999</v>
      </c>
      <c r="G174" s="100">
        <v>23.95</v>
      </c>
      <c r="H174" s="100">
        <v>43.295999999999999</v>
      </c>
      <c r="I174" s="100">
        <v>470.77</v>
      </c>
      <c r="J174" s="100">
        <v>0.748</v>
      </c>
      <c r="K174" s="100">
        <v>0.72599999999999998</v>
      </c>
      <c r="L174" s="100">
        <v>3.93</v>
      </c>
      <c r="M174" s="100">
        <v>0.42</v>
      </c>
      <c r="N174" s="101">
        <v>0</v>
      </c>
      <c r="O174" s="100">
        <v>40.600999999999999</v>
      </c>
      <c r="P174" s="100">
        <v>276.51</v>
      </c>
      <c r="Q174" s="99">
        <v>0</v>
      </c>
      <c r="R174" s="99">
        <v>0</v>
      </c>
      <c r="S174" s="100">
        <v>59.026000000000003</v>
      </c>
      <c r="T174" s="100">
        <v>2.5409999999999999</v>
      </c>
      <c r="U174" s="58"/>
      <c r="V174" s="59"/>
      <c r="W174" s="59"/>
      <c r="X174" s="59"/>
    </row>
    <row r="175" spans="1:24" s="60" customFormat="1" ht="11.25" customHeight="1" x14ac:dyDescent="0.2">
      <c r="A175" s="102" t="s">
        <v>58</v>
      </c>
      <c r="B175" s="193" t="s">
        <v>47</v>
      </c>
      <c r="C175" s="194"/>
      <c r="D175" s="99">
        <v>30</v>
      </c>
      <c r="E175" s="100">
        <v>2.52</v>
      </c>
      <c r="F175" s="100">
        <f>1.52*D175/30</f>
        <v>1.52</v>
      </c>
      <c r="G175" s="103">
        <f>0.16*D175/30</f>
        <v>0.16</v>
      </c>
      <c r="H175" s="103">
        <f>9.84*D175/30</f>
        <v>9.84</v>
      </c>
      <c r="I175" s="103">
        <f>F175*4+G175*9+H175*4</f>
        <v>46.879999999999995</v>
      </c>
      <c r="J175" s="103">
        <f>0.02*D175/30</f>
        <v>0.02</v>
      </c>
      <c r="K175" s="103">
        <f>0.01*D175/30</f>
        <v>0.01</v>
      </c>
      <c r="L175" s="103">
        <f>0.44*D175/30</f>
        <v>0.44</v>
      </c>
      <c r="M175" s="103">
        <v>0</v>
      </c>
      <c r="N175" s="103">
        <f>0.7*D175/30</f>
        <v>0.7</v>
      </c>
      <c r="O175" s="103">
        <f>4*D175/30</f>
        <v>4</v>
      </c>
      <c r="P175" s="103">
        <f>13*D175/30</f>
        <v>13</v>
      </c>
      <c r="Q175" s="103">
        <f>0.008*D175/30</f>
        <v>8.0000000000000002E-3</v>
      </c>
      <c r="R175" s="103">
        <f>0.001*D175/30</f>
        <v>1E-3</v>
      </c>
      <c r="S175" s="103">
        <v>0</v>
      </c>
      <c r="T175" s="103">
        <f>0.22*D175/30</f>
        <v>0.22</v>
      </c>
      <c r="U175" s="58"/>
      <c r="V175" s="59"/>
      <c r="W175" s="59"/>
      <c r="X175" s="59"/>
    </row>
    <row r="176" spans="1:24" s="60" customFormat="1" ht="12.75" customHeight="1" x14ac:dyDescent="0.2">
      <c r="A176" s="91">
        <v>377</v>
      </c>
      <c r="B176" s="210" t="s">
        <v>41</v>
      </c>
      <c r="C176" s="210"/>
      <c r="D176" s="99">
        <v>200</v>
      </c>
      <c r="E176" s="100">
        <v>3.81</v>
      </c>
      <c r="F176" s="100">
        <v>0.26</v>
      </c>
      <c r="G176" s="100">
        <v>0.06</v>
      </c>
      <c r="H176" s="100">
        <v>15.22</v>
      </c>
      <c r="I176" s="100">
        <f>F176*4+G176*9+H176*4</f>
        <v>62.46</v>
      </c>
      <c r="J176" s="100"/>
      <c r="K176" s="100">
        <v>0.01</v>
      </c>
      <c r="L176" s="100">
        <v>2.9</v>
      </c>
      <c r="M176" s="101">
        <v>0</v>
      </c>
      <c r="N176" s="100">
        <v>0.06</v>
      </c>
      <c r="O176" s="100">
        <v>8.0500000000000007</v>
      </c>
      <c r="P176" s="100">
        <v>9.7799999999999994</v>
      </c>
      <c r="Q176" s="100">
        <v>1.7000000000000001E-2</v>
      </c>
      <c r="R176" s="103">
        <v>0</v>
      </c>
      <c r="S176" s="100">
        <v>5.24</v>
      </c>
      <c r="T176" s="100">
        <v>0.87</v>
      </c>
      <c r="U176" s="58"/>
      <c r="V176" s="59"/>
      <c r="W176" s="59"/>
      <c r="X176" s="59"/>
    </row>
    <row r="177" spans="1:24" s="44" customFormat="1" ht="11.25" customHeight="1" x14ac:dyDescent="0.2">
      <c r="A177" s="139" t="str">
        <f>A240</f>
        <v xml:space="preserve">Итого за Завтрак </v>
      </c>
      <c r="B177" s="140"/>
      <c r="C177" s="140"/>
      <c r="D177" s="110">
        <f t="shared" ref="D177:I177" si="46">SUM(D173:D176)</f>
        <v>510</v>
      </c>
      <c r="E177" s="111">
        <f t="shared" si="46"/>
        <v>73</v>
      </c>
      <c r="F177" s="121">
        <f t="shared" si="46"/>
        <v>26.872999999999998</v>
      </c>
      <c r="G177" s="122">
        <f t="shared" si="46"/>
        <v>24.369999999999997</v>
      </c>
      <c r="H177" s="122">
        <f t="shared" si="46"/>
        <v>73.956000000000003</v>
      </c>
      <c r="I177" s="123">
        <f t="shared" si="46"/>
        <v>609.11</v>
      </c>
      <c r="J177" s="121">
        <f t="shared" ref="J177:T177" si="47">SUM(J173:J176)</f>
        <v>0.79200000000000004</v>
      </c>
      <c r="K177" s="121">
        <f t="shared" si="47"/>
        <v>0.746</v>
      </c>
      <c r="L177" s="121">
        <f t="shared" si="47"/>
        <v>9.67</v>
      </c>
      <c r="M177" s="121">
        <f t="shared" si="47"/>
        <v>0.42</v>
      </c>
      <c r="N177" s="121">
        <f t="shared" si="47"/>
        <v>0.76</v>
      </c>
      <c r="O177" s="121">
        <f t="shared" si="47"/>
        <v>73.650999999999996</v>
      </c>
      <c r="P177" s="121">
        <f t="shared" si="47"/>
        <v>319.78999999999996</v>
      </c>
      <c r="Q177" s="121">
        <f t="shared" si="47"/>
        <v>2.5000000000000001E-2</v>
      </c>
      <c r="R177" s="124">
        <f t="shared" si="47"/>
        <v>1E-3</v>
      </c>
      <c r="S177" s="121">
        <f t="shared" si="47"/>
        <v>70.766000000000005</v>
      </c>
      <c r="T177" s="121">
        <f t="shared" si="47"/>
        <v>3.7710000000000004</v>
      </c>
      <c r="U177" s="23"/>
      <c r="V177" s="45"/>
      <c r="W177" s="45"/>
      <c r="X177" s="45"/>
    </row>
    <row r="178" spans="1:24" s="44" customFormat="1" ht="11.25" customHeight="1" x14ac:dyDescent="0.2">
      <c r="A178" s="206" t="s">
        <v>55</v>
      </c>
      <c r="B178" s="207"/>
      <c r="C178" s="207"/>
      <c r="D178" s="208"/>
      <c r="E178" s="112"/>
      <c r="F178" s="113">
        <f t="shared" ref="F178:T178" si="48">F177/F195</f>
        <v>0.29858888888888885</v>
      </c>
      <c r="G178" s="115">
        <f t="shared" si="48"/>
        <v>0.26489130434782604</v>
      </c>
      <c r="H178" s="115">
        <f t="shared" si="48"/>
        <v>0.19309660574412532</v>
      </c>
      <c r="I178" s="115">
        <f t="shared" si="48"/>
        <v>0.22393750000000001</v>
      </c>
      <c r="J178" s="115">
        <f t="shared" si="48"/>
        <v>0.56571428571428573</v>
      </c>
      <c r="K178" s="115">
        <f t="shared" si="48"/>
        <v>0.46625</v>
      </c>
      <c r="L178" s="115">
        <f t="shared" si="48"/>
        <v>0.13814285714285715</v>
      </c>
      <c r="M178" s="115">
        <f t="shared" si="48"/>
        <v>0.46666666666666662</v>
      </c>
      <c r="N178" s="115">
        <f t="shared" si="48"/>
        <v>6.3333333333333339E-2</v>
      </c>
      <c r="O178" s="115">
        <f t="shared" si="48"/>
        <v>6.1375833333333331E-2</v>
      </c>
      <c r="P178" s="115">
        <f t="shared" si="48"/>
        <v>0.26649166666666663</v>
      </c>
      <c r="Q178" s="115">
        <f t="shared" si="48"/>
        <v>1.7857142857142859E-3</v>
      </c>
      <c r="R178" s="115">
        <f t="shared" si="48"/>
        <v>0.01</v>
      </c>
      <c r="S178" s="115">
        <f t="shared" si="48"/>
        <v>0.23588666666666669</v>
      </c>
      <c r="T178" s="115">
        <f t="shared" si="48"/>
        <v>0.20950000000000002</v>
      </c>
      <c r="U178" s="47"/>
      <c r="V178" s="45"/>
      <c r="W178" s="45"/>
      <c r="X178" s="45"/>
    </row>
    <row r="179" spans="1:24" s="44" customFormat="1" ht="11.25" customHeight="1" x14ac:dyDescent="0.2">
      <c r="A179" s="230" t="str">
        <f>A211</f>
        <v>Обед (полноценный рацион питания)</v>
      </c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2"/>
      <c r="U179" s="6"/>
      <c r="V179" s="19"/>
      <c r="W179" s="19"/>
      <c r="X179" s="19"/>
    </row>
    <row r="180" spans="1:24" s="60" customFormat="1" ht="22.5" customHeight="1" x14ac:dyDescent="0.2">
      <c r="A180" s="91" t="s">
        <v>85</v>
      </c>
      <c r="B180" s="193" t="s">
        <v>111</v>
      </c>
      <c r="C180" s="194"/>
      <c r="D180" s="99">
        <v>100</v>
      </c>
      <c r="E180" s="100">
        <v>10.44</v>
      </c>
      <c r="F180" s="100">
        <f>0.9*D180/60</f>
        <v>1.5</v>
      </c>
      <c r="G180" s="116">
        <f>3.1*D180/60</f>
        <v>5.166666666666667</v>
      </c>
      <c r="H180" s="116">
        <f>5.6*D180/60</f>
        <v>9.3333333333333339</v>
      </c>
      <c r="I180" s="100">
        <f>F180*4+G180*9+H180*4</f>
        <v>89.833333333333343</v>
      </c>
      <c r="J180" s="103">
        <f>0.1*D180/60</f>
        <v>0.16666666666666666</v>
      </c>
      <c r="K180" s="103">
        <f>0.1*D180/60</f>
        <v>0.16666666666666666</v>
      </c>
      <c r="L180" s="100">
        <f>12.3*D180/60</f>
        <v>20.5</v>
      </c>
      <c r="M180" s="103">
        <f>0.02*D180/60</f>
        <v>3.3333333333333333E-2</v>
      </c>
      <c r="N180" s="103">
        <f>0.5*D180/60</f>
        <v>0.83333333333333337</v>
      </c>
      <c r="O180" s="116">
        <f>59.9*D180/60</f>
        <v>99.833333333333329</v>
      </c>
      <c r="P180" s="116">
        <f>31.3*D180/60</f>
        <v>52.166666666666664</v>
      </c>
      <c r="Q180" s="117">
        <f>0.4228*D180/60</f>
        <v>0.70466666666666666</v>
      </c>
      <c r="R180" s="103">
        <f>0.003*D180/60</f>
        <v>5.0000000000000001E-3</v>
      </c>
      <c r="S180" s="116">
        <f>16.3*D180/60</f>
        <v>27.166666666666668</v>
      </c>
      <c r="T180" s="100">
        <f>0.7*D180/60</f>
        <v>1.1666666666666667</v>
      </c>
      <c r="U180" s="58"/>
      <c r="V180" s="59"/>
      <c r="W180" s="59"/>
      <c r="X180" s="59"/>
    </row>
    <row r="181" spans="1:24" s="60" customFormat="1" ht="15" customHeight="1" x14ac:dyDescent="0.2">
      <c r="A181" s="91">
        <v>102</v>
      </c>
      <c r="B181" s="193" t="s">
        <v>68</v>
      </c>
      <c r="C181" s="194"/>
      <c r="D181" s="101">
        <v>250</v>
      </c>
      <c r="E181" s="100">
        <v>10.76</v>
      </c>
      <c r="F181" s="100">
        <v>6.22</v>
      </c>
      <c r="G181" s="100">
        <v>3.99</v>
      </c>
      <c r="H181" s="100">
        <v>21.73</v>
      </c>
      <c r="I181" s="100">
        <v>147.71</v>
      </c>
      <c r="J181" s="100">
        <v>0.27</v>
      </c>
      <c r="K181" s="100">
        <v>0.09</v>
      </c>
      <c r="L181" s="100">
        <v>9</v>
      </c>
      <c r="M181" s="103">
        <v>1E-3</v>
      </c>
      <c r="N181" s="100">
        <v>0.25700000000000001</v>
      </c>
      <c r="O181" s="100">
        <v>54.13</v>
      </c>
      <c r="P181" s="100">
        <v>183.2</v>
      </c>
      <c r="Q181" s="100">
        <v>1.157</v>
      </c>
      <c r="R181" s="103">
        <v>1.2999999999999999E-2</v>
      </c>
      <c r="S181" s="100">
        <v>49.63</v>
      </c>
      <c r="T181" s="100">
        <v>1.03</v>
      </c>
      <c r="U181" s="58"/>
      <c r="V181" s="59"/>
      <c r="W181" s="59"/>
      <c r="X181" s="59"/>
    </row>
    <row r="182" spans="1:24" s="60" customFormat="1" ht="24.75" customHeight="1" x14ac:dyDescent="0.2">
      <c r="A182" s="94">
        <v>298</v>
      </c>
      <c r="B182" s="193" t="s">
        <v>96</v>
      </c>
      <c r="C182" s="194"/>
      <c r="D182" s="95">
        <v>90</v>
      </c>
      <c r="E182" s="95">
        <v>49.14</v>
      </c>
      <c r="F182" s="96">
        <v>13.715999999999999</v>
      </c>
      <c r="G182" s="96">
        <v>5.22</v>
      </c>
      <c r="H182" s="96">
        <v>9.1440000000000001</v>
      </c>
      <c r="I182" s="96">
        <v>138.41999999999999</v>
      </c>
      <c r="J182" s="97">
        <v>8.1000000000000003E-2</v>
      </c>
      <c r="K182" s="96">
        <v>7.1999999999999995E-2</v>
      </c>
      <c r="L182" s="96">
        <v>0.216</v>
      </c>
      <c r="M182" s="97">
        <v>1E-3</v>
      </c>
      <c r="N182" s="97">
        <v>6.7000000000000004E-2</v>
      </c>
      <c r="O182" s="96">
        <v>12.627000000000001</v>
      </c>
      <c r="P182" s="96">
        <v>84.58</v>
      </c>
      <c r="Q182" s="97">
        <v>1.0529999999999999</v>
      </c>
      <c r="R182" s="97">
        <v>3.5999999999999997E-2</v>
      </c>
      <c r="S182" s="96">
        <v>14.616</v>
      </c>
      <c r="T182" s="96">
        <v>1.7010000000000001</v>
      </c>
      <c r="U182" s="62"/>
      <c r="V182" s="63"/>
      <c r="W182" s="63"/>
      <c r="X182" s="63"/>
    </row>
    <row r="183" spans="1:24" s="60" customFormat="1" ht="12.75" customHeight="1" x14ac:dyDescent="0.2">
      <c r="A183" s="102">
        <v>171</v>
      </c>
      <c r="B183" s="193" t="s">
        <v>22</v>
      </c>
      <c r="C183" s="194"/>
      <c r="D183" s="99">
        <v>180</v>
      </c>
      <c r="E183" s="100">
        <v>14.16</v>
      </c>
      <c r="F183" s="100">
        <f>6.57*D183/150</f>
        <v>7.8840000000000012</v>
      </c>
      <c r="G183" s="100">
        <f>4.19*D183/150</f>
        <v>5.0280000000000005</v>
      </c>
      <c r="H183" s="100">
        <f>32.32*D183/150</f>
        <v>38.783999999999999</v>
      </c>
      <c r="I183" s="100">
        <f>F183*4+G183*9+H183*4</f>
        <v>231.92400000000001</v>
      </c>
      <c r="J183" s="103">
        <f>0.06*D183/150</f>
        <v>7.1999999999999995E-2</v>
      </c>
      <c r="K183" s="103">
        <f>0.03*D183/150</f>
        <v>3.5999999999999997E-2</v>
      </c>
      <c r="L183" s="101">
        <v>0</v>
      </c>
      <c r="M183" s="103">
        <f>0.03*D183/150</f>
        <v>3.5999999999999997E-2</v>
      </c>
      <c r="N183" s="101">
        <f>2.55*D183/150</f>
        <v>3.0599999999999996</v>
      </c>
      <c r="O183" s="100">
        <f>18.12*D183/150</f>
        <v>21.744000000000003</v>
      </c>
      <c r="P183" s="100">
        <f>157.03*D183/150</f>
        <v>188.43600000000001</v>
      </c>
      <c r="Q183" s="103">
        <f>0.8874*D183/150</f>
        <v>1.06488</v>
      </c>
      <c r="R183" s="103">
        <f>0.00135*D183/150</f>
        <v>1.6200000000000001E-3</v>
      </c>
      <c r="S183" s="100">
        <f>104.45*D183/150</f>
        <v>125.34</v>
      </c>
      <c r="T183" s="100">
        <f>3.55*D183/150</f>
        <v>4.26</v>
      </c>
      <c r="U183" s="58"/>
      <c r="V183" s="59"/>
      <c r="W183" s="59"/>
      <c r="X183" s="59"/>
    </row>
    <row r="184" spans="1:24" s="60" customFormat="1" x14ac:dyDescent="0.2">
      <c r="A184" s="104">
        <v>345</v>
      </c>
      <c r="B184" s="197" t="s">
        <v>44</v>
      </c>
      <c r="C184" s="197"/>
      <c r="D184" s="118">
        <v>200</v>
      </c>
      <c r="E184" s="119">
        <v>4.9000000000000004</v>
      </c>
      <c r="F184" s="119">
        <v>0.06</v>
      </c>
      <c r="G184" s="119">
        <v>0.02</v>
      </c>
      <c r="H184" s="119">
        <v>20.73</v>
      </c>
      <c r="I184" s="119">
        <v>83.34</v>
      </c>
      <c r="J184" s="119">
        <v>0</v>
      </c>
      <c r="K184" s="119">
        <v>0</v>
      </c>
      <c r="L184" s="119">
        <v>2.5</v>
      </c>
      <c r="M184" s="119">
        <v>4.0000000000000001E-3</v>
      </c>
      <c r="N184" s="119">
        <v>0.2</v>
      </c>
      <c r="O184" s="119">
        <v>4</v>
      </c>
      <c r="P184" s="119">
        <v>3.3</v>
      </c>
      <c r="Q184" s="119">
        <v>0.08</v>
      </c>
      <c r="R184" s="119">
        <v>1E-3</v>
      </c>
      <c r="S184" s="119">
        <v>1.7</v>
      </c>
      <c r="T184" s="119">
        <v>0.15</v>
      </c>
      <c r="U184" s="58"/>
      <c r="V184" s="59"/>
      <c r="W184" s="59"/>
      <c r="X184" s="59"/>
    </row>
    <row r="185" spans="1:24" s="60" customFormat="1" ht="11.25" customHeight="1" x14ac:dyDescent="0.2">
      <c r="A185" s="120" t="s">
        <v>58</v>
      </c>
      <c r="B185" s="193" t="s">
        <v>42</v>
      </c>
      <c r="C185" s="194"/>
      <c r="D185" s="99">
        <v>40</v>
      </c>
      <c r="E185" s="100">
        <v>2.08</v>
      </c>
      <c r="F185" s="100">
        <f>2.64*D185/40</f>
        <v>2.64</v>
      </c>
      <c r="G185" s="100">
        <f>0.48*D185/40</f>
        <v>0.48</v>
      </c>
      <c r="H185" s="100">
        <f>13.68*D185/40</f>
        <v>13.680000000000001</v>
      </c>
      <c r="I185" s="116">
        <f>F185*4+G185*9+H185*4</f>
        <v>69.600000000000009</v>
      </c>
      <c r="J185" s="101">
        <f>0.08*D185/40</f>
        <v>0.08</v>
      </c>
      <c r="K185" s="100">
        <f>0.04*D185/40</f>
        <v>0.04</v>
      </c>
      <c r="L185" s="99">
        <v>0</v>
      </c>
      <c r="M185" s="99">
        <v>0</v>
      </c>
      <c r="N185" s="100">
        <f>2.4*D185/40</f>
        <v>2.4</v>
      </c>
      <c r="O185" s="100">
        <f>14*D185/40</f>
        <v>14</v>
      </c>
      <c r="P185" s="100">
        <f>63.2*D185/40</f>
        <v>63.2</v>
      </c>
      <c r="Q185" s="100">
        <f>1.2*D185/40</f>
        <v>1.2</v>
      </c>
      <c r="R185" s="103">
        <f>0.001*D185/40</f>
        <v>1E-3</v>
      </c>
      <c r="S185" s="100">
        <f>9.4*D185/40</f>
        <v>9.4</v>
      </c>
      <c r="T185" s="101">
        <f>0.78*D185/40</f>
        <v>0.78</v>
      </c>
      <c r="U185" s="66"/>
      <c r="V185" s="67"/>
      <c r="W185" s="67"/>
      <c r="X185" s="67"/>
    </row>
    <row r="186" spans="1:24" s="60" customFormat="1" ht="11.25" customHeight="1" x14ac:dyDescent="0.2">
      <c r="A186" s="102" t="s">
        <v>58</v>
      </c>
      <c r="B186" s="193" t="s">
        <v>47</v>
      </c>
      <c r="C186" s="194"/>
      <c r="D186" s="99">
        <v>30</v>
      </c>
      <c r="E186" s="100">
        <v>2.52</v>
      </c>
      <c r="F186" s="100">
        <f>1.52*D186/30</f>
        <v>1.52</v>
      </c>
      <c r="G186" s="103">
        <f>0.16*D186/30</f>
        <v>0.16</v>
      </c>
      <c r="H186" s="103">
        <f>9.84*D186/30</f>
        <v>9.84</v>
      </c>
      <c r="I186" s="103">
        <f>F186*4+G186*9+H186*4</f>
        <v>46.879999999999995</v>
      </c>
      <c r="J186" s="103">
        <f>0.02*D186/30</f>
        <v>0.02</v>
      </c>
      <c r="K186" s="103">
        <f>0.01*D186/30</f>
        <v>0.01</v>
      </c>
      <c r="L186" s="103">
        <f>0.44*D186/30</f>
        <v>0.44</v>
      </c>
      <c r="M186" s="103">
        <v>0</v>
      </c>
      <c r="N186" s="103">
        <f>0.7*D186/30</f>
        <v>0.7</v>
      </c>
      <c r="O186" s="103">
        <f>4*D186/30</f>
        <v>4</v>
      </c>
      <c r="P186" s="103">
        <f>13*D186/30</f>
        <v>13</v>
      </c>
      <c r="Q186" s="103">
        <f>0.008*D186/30</f>
        <v>8.0000000000000002E-3</v>
      </c>
      <c r="R186" s="103">
        <f>0.001*D186/30</f>
        <v>1E-3</v>
      </c>
      <c r="S186" s="103">
        <v>0</v>
      </c>
      <c r="T186" s="103">
        <f>0.22*D186/30</f>
        <v>0.22</v>
      </c>
      <c r="U186" s="58"/>
      <c r="V186" s="59"/>
      <c r="W186" s="59"/>
      <c r="X186" s="59"/>
    </row>
    <row r="187" spans="1:24" s="44" customFormat="1" ht="11.25" customHeight="1" x14ac:dyDescent="0.2">
      <c r="A187" s="108" t="s">
        <v>25</v>
      </c>
      <c r="B187" s="109"/>
      <c r="C187" s="109"/>
      <c r="D187" s="110">
        <f t="shared" ref="D187:T187" si="49">SUM(D180:D186)</f>
        <v>890</v>
      </c>
      <c r="E187" s="111">
        <f t="shared" si="49"/>
        <v>94</v>
      </c>
      <c r="F187" s="121">
        <f t="shared" si="49"/>
        <v>33.54</v>
      </c>
      <c r="G187" s="122">
        <f t="shared" si="49"/>
        <v>20.064666666666664</v>
      </c>
      <c r="H187" s="122">
        <f t="shared" si="49"/>
        <v>123.24133333333334</v>
      </c>
      <c r="I187" s="122">
        <f t="shared" si="49"/>
        <v>807.70733333333339</v>
      </c>
      <c r="J187" s="122">
        <f t="shared" si="49"/>
        <v>0.68966666666666654</v>
      </c>
      <c r="K187" s="122">
        <f t="shared" si="49"/>
        <v>0.41466666666666663</v>
      </c>
      <c r="L187" s="122">
        <f t="shared" si="49"/>
        <v>32.655999999999999</v>
      </c>
      <c r="M187" s="122">
        <f t="shared" si="49"/>
        <v>7.5333333333333335E-2</v>
      </c>
      <c r="N187" s="122">
        <f t="shared" si="49"/>
        <v>7.5173333333333323</v>
      </c>
      <c r="O187" s="122">
        <f t="shared" si="49"/>
        <v>210.33433333333335</v>
      </c>
      <c r="P187" s="122">
        <f t="shared" si="49"/>
        <v>587.88266666666664</v>
      </c>
      <c r="Q187" s="122">
        <f t="shared" si="49"/>
        <v>5.267546666666667</v>
      </c>
      <c r="R187" s="122">
        <f t="shared" si="49"/>
        <v>5.8619999999999998E-2</v>
      </c>
      <c r="S187" s="122">
        <f t="shared" si="49"/>
        <v>227.85266666666666</v>
      </c>
      <c r="T187" s="122">
        <f t="shared" si="49"/>
        <v>9.3076666666666679</v>
      </c>
      <c r="U187" s="23"/>
      <c r="V187" s="45"/>
      <c r="W187" s="45"/>
      <c r="X187" s="45"/>
    </row>
    <row r="188" spans="1:24" s="44" customFormat="1" ht="11.25" customHeight="1" x14ac:dyDescent="0.2">
      <c r="A188" s="206" t="s">
        <v>55</v>
      </c>
      <c r="B188" s="207"/>
      <c r="C188" s="207"/>
      <c r="D188" s="208"/>
      <c r="E188" s="112"/>
      <c r="F188" s="113">
        <f t="shared" ref="F188:T188" si="50">F187/F195</f>
        <v>0.37266666666666665</v>
      </c>
      <c r="G188" s="115">
        <f t="shared" si="50"/>
        <v>0.21809420289855069</v>
      </c>
      <c r="H188" s="115">
        <f t="shared" si="50"/>
        <v>0.32177893820713666</v>
      </c>
      <c r="I188" s="115">
        <f t="shared" si="50"/>
        <v>0.29695122549019609</v>
      </c>
      <c r="J188" s="115">
        <f t="shared" si="50"/>
        <v>0.49261904761904757</v>
      </c>
      <c r="K188" s="115">
        <f t="shared" si="50"/>
        <v>0.2591666666666666</v>
      </c>
      <c r="L188" s="115">
        <f t="shared" si="50"/>
        <v>0.46651428571428571</v>
      </c>
      <c r="M188" s="115">
        <f t="shared" si="50"/>
        <v>8.3703703703703711E-2</v>
      </c>
      <c r="N188" s="115">
        <f t="shared" si="50"/>
        <v>0.62644444444444436</v>
      </c>
      <c r="O188" s="115">
        <f t="shared" si="50"/>
        <v>0.17527861111111112</v>
      </c>
      <c r="P188" s="115">
        <f t="shared" si="50"/>
        <v>0.48990222222222218</v>
      </c>
      <c r="Q188" s="115">
        <f t="shared" si="50"/>
        <v>0.37625333333333338</v>
      </c>
      <c r="R188" s="115">
        <f t="shared" si="50"/>
        <v>0.58619999999999994</v>
      </c>
      <c r="S188" s="115">
        <f t="shared" si="50"/>
        <v>0.7595088888888889</v>
      </c>
      <c r="T188" s="115">
        <f t="shared" si="50"/>
        <v>0.51709259259259266</v>
      </c>
      <c r="U188" s="47"/>
      <c r="V188" s="45"/>
      <c r="W188" s="45"/>
      <c r="X188" s="45"/>
    </row>
    <row r="189" spans="1:24" s="44" customFormat="1" ht="11.25" customHeight="1" x14ac:dyDescent="0.2">
      <c r="A189" s="222" t="s">
        <v>26</v>
      </c>
      <c r="B189" s="223"/>
      <c r="C189" s="223"/>
      <c r="D189" s="223"/>
      <c r="E189" s="223"/>
      <c r="F189" s="223"/>
      <c r="G189" s="223"/>
      <c r="H189" s="223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4"/>
      <c r="U189" s="6"/>
      <c r="V189" s="19"/>
      <c r="W189" s="19"/>
      <c r="X189" s="19"/>
    </row>
    <row r="190" spans="1:24" s="42" customFormat="1" ht="11.25" customHeight="1" x14ac:dyDescent="0.2">
      <c r="A190" s="125"/>
      <c r="B190" s="205"/>
      <c r="C190" s="205"/>
      <c r="D190" s="126"/>
      <c r="E190" s="127"/>
      <c r="F190" s="127"/>
      <c r="G190" s="127"/>
      <c r="H190" s="127"/>
      <c r="I190" s="127"/>
      <c r="J190" s="127"/>
      <c r="K190" s="127"/>
      <c r="L190" s="130"/>
      <c r="M190" s="127"/>
      <c r="N190" s="129"/>
      <c r="O190" s="130"/>
      <c r="P190" s="127"/>
      <c r="Q190" s="130"/>
      <c r="R190" s="126"/>
      <c r="S190" s="127"/>
      <c r="T190" s="127"/>
    </row>
    <row r="191" spans="1:24" s="44" customFormat="1" ht="12.75" customHeight="1" x14ac:dyDescent="0.2">
      <c r="A191" s="91"/>
      <c r="B191" s="210"/>
      <c r="C191" s="210"/>
      <c r="D191" s="99"/>
      <c r="E191" s="100"/>
      <c r="F191" s="100"/>
      <c r="G191" s="100"/>
      <c r="H191" s="100"/>
      <c r="I191" s="100"/>
      <c r="J191" s="100"/>
      <c r="K191" s="100"/>
      <c r="L191" s="100"/>
      <c r="M191" s="101"/>
      <c r="N191" s="100"/>
      <c r="O191" s="100"/>
      <c r="P191" s="100"/>
      <c r="Q191" s="100"/>
      <c r="R191" s="103"/>
      <c r="S191" s="100"/>
      <c r="T191" s="100"/>
      <c r="U191" s="48"/>
      <c r="V191" s="49"/>
      <c r="W191" s="49"/>
      <c r="X191" s="49"/>
    </row>
    <row r="192" spans="1:24" s="1" customFormat="1" ht="11.25" customHeight="1" x14ac:dyDescent="0.2">
      <c r="A192" s="108" t="s">
        <v>27</v>
      </c>
      <c r="B192" s="109"/>
      <c r="C192" s="109"/>
      <c r="D192" s="110"/>
      <c r="E192" s="164">
        <f>SUM(E190:E191)</f>
        <v>0</v>
      </c>
      <c r="F192" s="121">
        <f>SUM(F190:F191)</f>
        <v>0</v>
      </c>
      <c r="G192" s="122">
        <f>SUM(G190:G191)</f>
        <v>0</v>
      </c>
      <c r="H192" s="122">
        <f>SUM(H190:H191)</f>
        <v>0</v>
      </c>
      <c r="I192" s="122">
        <f>SUM(I190:I191)</f>
        <v>0</v>
      </c>
      <c r="J192" s="121">
        <f t="shared" ref="J192:T192" si="51">SUM(J190:J191)</f>
        <v>0</v>
      </c>
      <c r="K192" s="121">
        <f t="shared" si="51"/>
        <v>0</v>
      </c>
      <c r="L192" s="122">
        <f t="shared" si="51"/>
        <v>0</v>
      </c>
      <c r="M192" s="122">
        <f t="shared" si="51"/>
        <v>0</v>
      </c>
      <c r="N192" s="122">
        <f t="shared" si="51"/>
        <v>0</v>
      </c>
      <c r="O192" s="122">
        <f t="shared" si="51"/>
        <v>0</v>
      </c>
      <c r="P192" s="122">
        <f t="shared" si="51"/>
        <v>0</v>
      </c>
      <c r="Q192" s="122">
        <f t="shared" si="51"/>
        <v>0</v>
      </c>
      <c r="R192" s="124">
        <f t="shared" si="51"/>
        <v>0</v>
      </c>
      <c r="S192" s="122">
        <f t="shared" si="51"/>
        <v>0</v>
      </c>
      <c r="T192" s="121">
        <f t="shared" si="51"/>
        <v>0</v>
      </c>
      <c r="U192" s="23"/>
      <c r="V192" s="45"/>
      <c r="W192" s="45"/>
      <c r="X192" s="45"/>
    </row>
    <row r="193" spans="1:25" s="1" customFormat="1" ht="11.25" customHeight="1" x14ac:dyDescent="0.2">
      <c r="A193" s="206" t="s">
        <v>55</v>
      </c>
      <c r="B193" s="207"/>
      <c r="C193" s="207"/>
      <c r="D193" s="208"/>
      <c r="E193" s="132"/>
      <c r="F193" s="114">
        <f>F192/F195</f>
        <v>0</v>
      </c>
      <c r="G193" s="115">
        <f t="shared" ref="G193:T193" si="52">G192/G195</f>
        <v>0</v>
      </c>
      <c r="H193" s="115">
        <f t="shared" si="52"/>
        <v>0</v>
      </c>
      <c r="I193" s="115">
        <f t="shared" si="52"/>
        <v>0</v>
      </c>
      <c r="J193" s="115">
        <f t="shared" si="52"/>
        <v>0</v>
      </c>
      <c r="K193" s="115">
        <f t="shared" si="52"/>
        <v>0</v>
      </c>
      <c r="L193" s="115">
        <f t="shared" si="52"/>
        <v>0</v>
      </c>
      <c r="M193" s="115">
        <f t="shared" si="52"/>
        <v>0</v>
      </c>
      <c r="N193" s="115">
        <f t="shared" si="52"/>
        <v>0</v>
      </c>
      <c r="O193" s="115">
        <f t="shared" si="52"/>
        <v>0</v>
      </c>
      <c r="P193" s="115">
        <f t="shared" si="52"/>
        <v>0</v>
      </c>
      <c r="Q193" s="115">
        <f t="shared" si="52"/>
        <v>0</v>
      </c>
      <c r="R193" s="115">
        <f t="shared" si="52"/>
        <v>0</v>
      </c>
      <c r="S193" s="115">
        <f t="shared" si="52"/>
        <v>0</v>
      </c>
      <c r="T193" s="115">
        <f t="shared" si="52"/>
        <v>0</v>
      </c>
      <c r="U193" s="47"/>
      <c r="V193" s="45"/>
      <c r="W193" s="45"/>
      <c r="X193" s="45"/>
    </row>
    <row r="194" spans="1:25" s="1" customFormat="1" ht="11.25" customHeight="1" x14ac:dyDescent="0.2">
      <c r="A194" s="108" t="s">
        <v>54</v>
      </c>
      <c r="B194" s="109"/>
      <c r="C194" s="109"/>
      <c r="D194" s="133">
        <f>D177+D187</f>
        <v>1400</v>
      </c>
      <c r="E194" s="134">
        <f>E187+E177</f>
        <v>167</v>
      </c>
      <c r="F194" s="121">
        <f t="shared" ref="F194:T194" si="53">SUM(F177,F187,F192)</f>
        <v>60.412999999999997</v>
      </c>
      <c r="G194" s="122">
        <f t="shared" si="53"/>
        <v>44.434666666666658</v>
      </c>
      <c r="H194" s="122">
        <f t="shared" si="53"/>
        <v>197.19733333333335</v>
      </c>
      <c r="I194" s="122">
        <f t="shared" si="53"/>
        <v>1416.8173333333334</v>
      </c>
      <c r="J194" s="121">
        <f t="shared" si="53"/>
        <v>1.4816666666666665</v>
      </c>
      <c r="K194" s="121">
        <f t="shared" si="53"/>
        <v>1.1606666666666667</v>
      </c>
      <c r="L194" s="122">
        <f t="shared" si="53"/>
        <v>42.326000000000001</v>
      </c>
      <c r="M194" s="121">
        <f t="shared" si="53"/>
        <v>0.49533333333333329</v>
      </c>
      <c r="N194" s="121">
        <f t="shared" si="53"/>
        <v>8.277333333333333</v>
      </c>
      <c r="O194" s="122">
        <f t="shared" si="53"/>
        <v>283.98533333333336</v>
      </c>
      <c r="P194" s="122">
        <f t="shared" si="53"/>
        <v>907.6726666666666</v>
      </c>
      <c r="Q194" s="121">
        <f t="shared" si="53"/>
        <v>5.2925466666666674</v>
      </c>
      <c r="R194" s="124">
        <f t="shared" si="53"/>
        <v>5.9619999999999999E-2</v>
      </c>
      <c r="S194" s="121">
        <f t="shared" si="53"/>
        <v>298.61866666666668</v>
      </c>
      <c r="T194" s="121">
        <f t="shared" si="53"/>
        <v>13.078666666666669</v>
      </c>
      <c r="U194" s="25"/>
      <c r="V194" s="45"/>
      <c r="W194" s="45"/>
      <c r="X194" s="45"/>
    </row>
    <row r="195" spans="1:25" s="1" customFormat="1" ht="11.25" customHeight="1" x14ac:dyDescent="0.2">
      <c r="A195" s="186" t="s">
        <v>56</v>
      </c>
      <c r="B195" s="187"/>
      <c r="C195" s="187"/>
      <c r="D195" s="188"/>
      <c r="E195" s="135"/>
      <c r="F195" s="100">
        <v>90</v>
      </c>
      <c r="G195" s="116">
        <v>92</v>
      </c>
      <c r="H195" s="116">
        <v>383</v>
      </c>
      <c r="I195" s="116">
        <v>2720</v>
      </c>
      <c r="J195" s="100">
        <v>1.4</v>
      </c>
      <c r="K195" s="100">
        <v>1.6</v>
      </c>
      <c r="L195" s="99">
        <v>70</v>
      </c>
      <c r="M195" s="100">
        <v>0.9</v>
      </c>
      <c r="N195" s="99">
        <v>12</v>
      </c>
      <c r="O195" s="99">
        <v>1200</v>
      </c>
      <c r="P195" s="99">
        <v>1200</v>
      </c>
      <c r="Q195" s="99">
        <v>14</v>
      </c>
      <c r="R195" s="116">
        <v>0.1</v>
      </c>
      <c r="S195" s="99">
        <v>300</v>
      </c>
      <c r="T195" s="100">
        <v>18</v>
      </c>
      <c r="U195" s="48"/>
      <c r="V195" s="49"/>
      <c r="W195" s="49"/>
      <c r="X195" s="49"/>
    </row>
    <row r="196" spans="1:25" s="1" customFormat="1" ht="11.25" customHeight="1" x14ac:dyDescent="0.2">
      <c r="A196" s="206" t="s">
        <v>55</v>
      </c>
      <c r="B196" s="207"/>
      <c r="C196" s="207"/>
      <c r="D196" s="208"/>
      <c r="E196" s="132"/>
      <c r="F196" s="114">
        <f t="shared" ref="F196:T196" si="54">F194/F195</f>
        <v>0.67125555555555549</v>
      </c>
      <c r="G196" s="115">
        <f t="shared" si="54"/>
        <v>0.48298550724637673</v>
      </c>
      <c r="H196" s="115">
        <f t="shared" si="54"/>
        <v>0.514875543951262</v>
      </c>
      <c r="I196" s="115">
        <f t="shared" si="54"/>
        <v>0.52088872549019616</v>
      </c>
      <c r="J196" s="115">
        <f t="shared" si="54"/>
        <v>1.0583333333333333</v>
      </c>
      <c r="K196" s="115">
        <f t="shared" si="54"/>
        <v>0.72541666666666671</v>
      </c>
      <c r="L196" s="136">
        <f t="shared" si="54"/>
        <v>0.60465714285714289</v>
      </c>
      <c r="M196" s="136">
        <f t="shared" si="54"/>
        <v>0.55037037037037029</v>
      </c>
      <c r="N196" s="136">
        <f t="shared" si="54"/>
        <v>0.68977777777777771</v>
      </c>
      <c r="O196" s="115">
        <f t="shared" si="54"/>
        <v>0.23665444444444447</v>
      </c>
      <c r="P196" s="115">
        <f t="shared" si="54"/>
        <v>0.75639388888888881</v>
      </c>
      <c r="Q196" s="115">
        <f t="shared" si="54"/>
        <v>0.37803904761904766</v>
      </c>
      <c r="R196" s="136">
        <f t="shared" si="54"/>
        <v>0.59619999999999995</v>
      </c>
      <c r="S196" s="115">
        <f t="shared" si="54"/>
        <v>0.99539555555555559</v>
      </c>
      <c r="T196" s="136">
        <f t="shared" si="54"/>
        <v>0.72659259259259268</v>
      </c>
      <c r="U196" s="26"/>
      <c r="V196" s="27"/>
      <c r="W196" s="27"/>
      <c r="X196" s="27"/>
    </row>
    <row r="197" spans="1:25" s="1" customFormat="1" ht="11.25" customHeight="1" x14ac:dyDescent="0.2">
      <c r="A197" s="163"/>
      <c r="B197" s="85"/>
      <c r="C197" s="85"/>
      <c r="D197" s="81"/>
      <c r="E197" s="81"/>
      <c r="F197" s="82"/>
      <c r="G197" s="81"/>
      <c r="H197" s="81"/>
      <c r="I197" s="81"/>
      <c r="J197" s="81"/>
      <c r="K197" s="81"/>
      <c r="L197" s="81"/>
      <c r="M197" s="213" t="s">
        <v>57</v>
      </c>
      <c r="N197" s="213"/>
      <c r="O197" s="213"/>
      <c r="P197" s="213"/>
      <c r="Q197" s="213"/>
      <c r="R197" s="213"/>
      <c r="S197" s="213"/>
      <c r="T197" s="213"/>
      <c r="U197" s="7"/>
      <c r="V197" s="14"/>
      <c r="W197" s="14"/>
      <c r="X197" s="14"/>
    </row>
    <row r="198" spans="1:25" s="1" customFormat="1" ht="11.25" customHeight="1" x14ac:dyDescent="0.2">
      <c r="A198" s="209" t="s">
        <v>37</v>
      </c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8"/>
      <c r="V198" s="20"/>
      <c r="W198" s="20"/>
      <c r="X198" s="20"/>
    </row>
    <row r="199" spans="1:25" s="1" customFormat="1" ht="11.25" customHeight="1" x14ac:dyDescent="0.2">
      <c r="A199" s="84" t="s">
        <v>48</v>
      </c>
      <c r="B199" s="85"/>
      <c r="C199" s="85"/>
      <c r="D199" s="79"/>
      <c r="E199" s="79"/>
      <c r="F199" s="82"/>
      <c r="G199" s="181" t="s">
        <v>29</v>
      </c>
      <c r="H199" s="181"/>
      <c r="I199" s="181"/>
      <c r="J199" s="81"/>
      <c r="K199" s="81"/>
      <c r="L199" s="199" t="s">
        <v>1</v>
      </c>
      <c r="M199" s="199"/>
      <c r="N199" s="211" t="str">
        <f>N167</f>
        <v>осенне-зимний</v>
      </c>
      <c r="O199" s="211"/>
      <c r="P199" s="211"/>
      <c r="Q199" s="211"/>
      <c r="R199" s="81"/>
      <c r="S199" s="81"/>
      <c r="T199" s="81"/>
      <c r="U199" s="9"/>
      <c r="V199" s="15"/>
      <c r="W199" s="15"/>
      <c r="X199" s="15"/>
    </row>
    <row r="200" spans="1:25" s="1" customFormat="1" ht="11.25" customHeight="1" x14ac:dyDescent="0.2">
      <c r="A200" s="85"/>
      <c r="B200" s="85"/>
      <c r="C200" s="85"/>
      <c r="D200" s="198" t="s">
        <v>2</v>
      </c>
      <c r="E200" s="198"/>
      <c r="F200" s="198"/>
      <c r="G200" s="86">
        <v>2</v>
      </c>
      <c r="H200" s="81"/>
      <c r="I200" s="79"/>
      <c r="J200" s="79"/>
      <c r="K200" s="79"/>
      <c r="L200" s="198" t="s">
        <v>3</v>
      </c>
      <c r="M200" s="198"/>
      <c r="N200" s="181" t="str">
        <f>N168</f>
        <v>с 7-11 лет;12 и старше</v>
      </c>
      <c r="O200" s="181"/>
      <c r="P200" s="181"/>
      <c r="Q200" s="181"/>
      <c r="R200" s="181"/>
      <c r="S200" s="181"/>
      <c r="T200" s="181"/>
      <c r="U200" s="10"/>
      <c r="V200" s="16"/>
      <c r="W200" s="16"/>
      <c r="X200" s="16"/>
    </row>
    <row r="201" spans="1:25" s="1" customFormat="1" ht="21.75" customHeight="1" x14ac:dyDescent="0.2">
      <c r="A201" s="201" t="s">
        <v>4</v>
      </c>
      <c r="B201" s="182" t="s">
        <v>5</v>
      </c>
      <c r="C201" s="183"/>
      <c r="D201" s="201" t="s">
        <v>6</v>
      </c>
      <c r="E201" s="87"/>
      <c r="F201" s="189" t="s">
        <v>7</v>
      </c>
      <c r="G201" s="190"/>
      <c r="H201" s="191"/>
      <c r="I201" s="201" t="s">
        <v>8</v>
      </c>
      <c r="J201" s="189" t="s">
        <v>9</v>
      </c>
      <c r="K201" s="190"/>
      <c r="L201" s="190"/>
      <c r="M201" s="190"/>
      <c r="N201" s="191"/>
      <c r="O201" s="189" t="s">
        <v>10</v>
      </c>
      <c r="P201" s="190"/>
      <c r="Q201" s="190"/>
      <c r="R201" s="190"/>
      <c r="S201" s="190"/>
      <c r="T201" s="191"/>
      <c r="U201" s="4"/>
      <c r="V201" s="17"/>
      <c r="W201" s="17"/>
      <c r="X201" s="17"/>
    </row>
    <row r="202" spans="1:25" s="1" customFormat="1" ht="21" customHeight="1" x14ac:dyDescent="0.2">
      <c r="A202" s="202"/>
      <c r="B202" s="184"/>
      <c r="C202" s="185"/>
      <c r="D202" s="202"/>
      <c r="E202" s="88"/>
      <c r="F202" s="89" t="s">
        <v>11</v>
      </c>
      <c r="G202" s="90" t="s">
        <v>12</v>
      </c>
      <c r="H202" s="90" t="s">
        <v>13</v>
      </c>
      <c r="I202" s="202"/>
      <c r="J202" s="90" t="s">
        <v>14</v>
      </c>
      <c r="K202" s="90" t="s">
        <v>50</v>
      </c>
      <c r="L202" s="90" t="s">
        <v>15</v>
      </c>
      <c r="M202" s="90" t="s">
        <v>16</v>
      </c>
      <c r="N202" s="90" t="s">
        <v>17</v>
      </c>
      <c r="O202" s="90" t="s">
        <v>18</v>
      </c>
      <c r="P202" s="90" t="s">
        <v>19</v>
      </c>
      <c r="Q202" s="90" t="s">
        <v>51</v>
      </c>
      <c r="R202" s="90" t="s">
        <v>52</v>
      </c>
      <c r="S202" s="90" t="s">
        <v>20</v>
      </c>
      <c r="T202" s="90" t="s">
        <v>21</v>
      </c>
      <c r="U202" s="4"/>
      <c r="V202" s="17"/>
      <c r="W202" s="17"/>
      <c r="X202" s="17"/>
    </row>
    <row r="203" spans="1:25" s="1" customFormat="1" ht="11.25" customHeight="1" x14ac:dyDescent="0.2">
      <c r="A203" s="91">
        <v>1</v>
      </c>
      <c r="B203" s="195">
        <v>2</v>
      </c>
      <c r="C203" s="196"/>
      <c r="D203" s="92">
        <v>3</v>
      </c>
      <c r="E203" s="92"/>
      <c r="F203" s="92">
        <v>4</v>
      </c>
      <c r="G203" s="92">
        <v>5</v>
      </c>
      <c r="H203" s="92">
        <v>6</v>
      </c>
      <c r="I203" s="92">
        <v>7</v>
      </c>
      <c r="J203" s="92">
        <v>8</v>
      </c>
      <c r="K203" s="92">
        <v>9</v>
      </c>
      <c r="L203" s="92">
        <v>10</v>
      </c>
      <c r="M203" s="92">
        <v>11</v>
      </c>
      <c r="N203" s="92">
        <v>12</v>
      </c>
      <c r="O203" s="92">
        <v>13</v>
      </c>
      <c r="P203" s="92">
        <v>14</v>
      </c>
      <c r="Q203" s="92">
        <v>15</v>
      </c>
      <c r="R203" s="92">
        <v>16</v>
      </c>
      <c r="S203" s="92">
        <v>17</v>
      </c>
      <c r="T203" s="92">
        <v>18</v>
      </c>
      <c r="U203" s="5"/>
      <c r="V203" s="18"/>
      <c r="W203" s="18"/>
      <c r="X203" s="18"/>
    </row>
    <row r="204" spans="1:25" s="1" customFormat="1" ht="11.25" customHeight="1" x14ac:dyDescent="0.2">
      <c r="A204" s="222" t="s">
        <v>81</v>
      </c>
      <c r="B204" s="223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  <c r="T204" s="224"/>
      <c r="U204" s="6"/>
      <c r="V204" s="19"/>
      <c r="W204" s="19"/>
      <c r="X204" s="19"/>
    </row>
    <row r="205" spans="1:25" s="60" customFormat="1" ht="20.25" customHeight="1" x14ac:dyDescent="0.2">
      <c r="A205" s="138" t="s">
        <v>58</v>
      </c>
      <c r="B205" s="205" t="s">
        <v>72</v>
      </c>
      <c r="C205" s="205"/>
      <c r="D205" s="126">
        <v>16</v>
      </c>
      <c r="E205" s="127">
        <v>6.53</v>
      </c>
      <c r="F205" s="127">
        <v>1</v>
      </c>
      <c r="G205" s="127">
        <v>0</v>
      </c>
      <c r="H205" s="127">
        <v>7.6</v>
      </c>
      <c r="I205" s="127">
        <v>34</v>
      </c>
      <c r="J205" s="127">
        <v>8.0000000000000002E-3</v>
      </c>
      <c r="K205" s="127">
        <v>7.0000000000000001E-3</v>
      </c>
      <c r="L205" s="127">
        <v>0.16</v>
      </c>
      <c r="M205" s="127">
        <v>8.0000000000000002E-3</v>
      </c>
      <c r="N205" s="127">
        <v>0.03</v>
      </c>
      <c r="O205" s="127">
        <v>51.16</v>
      </c>
      <c r="P205" s="127">
        <v>36.5</v>
      </c>
      <c r="Q205" s="127">
        <v>0.16</v>
      </c>
      <c r="R205" s="127">
        <v>2E-3</v>
      </c>
      <c r="S205" s="127">
        <v>5.66</v>
      </c>
      <c r="T205" s="127">
        <v>0.03</v>
      </c>
      <c r="U205" s="71"/>
      <c r="V205" s="71"/>
      <c r="W205" s="71"/>
      <c r="X205" s="71"/>
      <c r="Y205" s="71"/>
    </row>
    <row r="206" spans="1:25" s="76" customFormat="1" ht="11.25" customHeight="1" x14ac:dyDescent="0.2">
      <c r="A206" s="125">
        <v>222</v>
      </c>
      <c r="B206" s="203" t="s">
        <v>71</v>
      </c>
      <c r="C206" s="204"/>
      <c r="D206" s="126">
        <v>160</v>
      </c>
      <c r="E206" s="127">
        <v>62.66</v>
      </c>
      <c r="F206" s="119">
        <v>14.042</v>
      </c>
      <c r="G206" s="119">
        <v>13.53</v>
      </c>
      <c r="H206" s="119">
        <v>29.65</v>
      </c>
      <c r="I206" s="119">
        <v>296.60000000000002</v>
      </c>
      <c r="J206" s="119">
        <v>0.24</v>
      </c>
      <c r="K206" s="119">
        <v>0.38</v>
      </c>
      <c r="L206" s="119">
        <v>0.88</v>
      </c>
      <c r="M206" s="119">
        <v>0.2</v>
      </c>
      <c r="N206" s="119">
        <v>1.28</v>
      </c>
      <c r="O206" s="119">
        <v>203.25</v>
      </c>
      <c r="P206" s="119">
        <v>390.21199999999999</v>
      </c>
      <c r="Q206" s="119">
        <v>1.1200000000000001</v>
      </c>
      <c r="R206" s="119">
        <v>1.9E-2</v>
      </c>
      <c r="S206" s="119">
        <v>88.36</v>
      </c>
      <c r="T206" s="119">
        <v>2.38</v>
      </c>
      <c r="U206" s="71"/>
      <c r="V206" s="71"/>
      <c r="W206" s="71"/>
      <c r="X206" s="71"/>
      <c r="Y206" s="71"/>
    </row>
    <row r="207" spans="1:25" s="60" customFormat="1" ht="12.75" customHeight="1" x14ac:dyDescent="0.2">
      <c r="A207" s="91">
        <v>377</v>
      </c>
      <c r="B207" s="210" t="s">
        <v>41</v>
      </c>
      <c r="C207" s="210"/>
      <c r="D207" s="99">
        <v>200</v>
      </c>
      <c r="E207" s="100">
        <v>3.81</v>
      </c>
      <c r="F207" s="100">
        <v>0.26</v>
      </c>
      <c r="G207" s="100">
        <v>0.06</v>
      </c>
      <c r="H207" s="100">
        <v>15.22</v>
      </c>
      <c r="I207" s="100">
        <f>F207*4+G207*9+H207*4</f>
        <v>62.46</v>
      </c>
      <c r="J207" s="100"/>
      <c r="K207" s="100">
        <v>0.01</v>
      </c>
      <c r="L207" s="100">
        <v>2.9</v>
      </c>
      <c r="M207" s="101">
        <v>0</v>
      </c>
      <c r="N207" s="100">
        <v>0.06</v>
      </c>
      <c r="O207" s="100">
        <v>8.0500000000000007</v>
      </c>
      <c r="P207" s="100">
        <v>9.7799999999999994</v>
      </c>
      <c r="Q207" s="100">
        <v>1.7000000000000001E-2</v>
      </c>
      <c r="R207" s="103">
        <v>0</v>
      </c>
      <c r="S207" s="100">
        <v>5.24</v>
      </c>
      <c r="T207" s="100">
        <v>0.87</v>
      </c>
      <c r="U207" s="58"/>
      <c r="V207" s="59"/>
      <c r="W207" s="59"/>
      <c r="X207" s="59"/>
    </row>
    <row r="208" spans="1:25" s="71" customFormat="1" ht="11.25" customHeight="1" x14ac:dyDescent="0.2">
      <c r="A208" s="104" t="s">
        <v>58</v>
      </c>
      <c r="B208" s="238" t="s">
        <v>78</v>
      </c>
      <c r="C208" s="238"/>
      <c r="D208" s="105">
        <v>200</v>
      </c>
      <c r="E208" s="165"/>
      <c r="F208" s="107">
        <v>5.6</v>
      </c>
      <c r="G208" s="107">
        <v>6.4</v>
      </c>
      <c r="H208" s="107">
        <v>9.4</v>
      </c>
      <c r="I208" s="107">
        <v>117.6</v>
      </c>
      <c r="J208" s="107">
        <v>0.08</v>
      </c>
      <c r="K208" s="107">
        <v>0.307</v>
      </c>
      <c r="L208" s="107">
        <v>2.6</v>
      </c>
      <c r="M208" s="107">
        <v>6.7000000000000004E-2</v>
      </c>
      <c r="N208" s="107">
        <v>0.29199999999999998</v>
      </c>
      <c r="O208" s="107">
        <v>240</v>
      </c>
      <c r="P208" s="107">
        <v>180</v>
      </c>
      <c r="Q208" s="107">
        <v>0.8</v>
      </c>
      <c r="R208" s="107">
        <v>1.7999999999999999E-2</v>
      </c>
      <c r="S208" s="107">
        <v>28</v>
      </c>
      <c r="T208" s="107">
        <v>0.12</v>
      </c>
    </row>
    <row r="209" spans="1:24" s="44" customFormat="1" ht="11.25" customHeight="1" x14ac:dyDescent="0.2">
      <c r="A209" s="139" t="s">
        <v>82</v>
      </c>
      <c r="B209" s="140"/>
      <c r="C209" s="140"/>
      <c r="D209" s="110">
        <f t="shared" ref="D209:T209" si="55">SUM(D205:D208)</f>
        <v>576</v>
      </c>
      <c r="E209" s="111">
        <f t="shared" si="55"/>
        <v>73</v>
      </c>
      <c r="F209" s="111">
        <f t="shared" si="55"/>
        <v>20.902000000000001</v>
      </c>
      <c r="G209" s="111">
        <f t="shared" si="55"/>
        <v>19.990000000000002</v>
      </c>
      <c r="H209" s="111">
        <f t="shared" si="55"/>
        <v>61.87</v>
      </c>
      <c r="I209" s="111">
        <f t="shared" si="55"/>
        <v>510.65999999999997</v>
      </c>
      <c r="J209" s="111">
        <f t="shared" si="55"/>
        <v>0.32800000000000001</v>
      </c>
      <c r="K209" s="111">
        <f t="shared" si="55"/>
        <v>0.70399999999999996</v>
      </c>
      <c r="L209" s="111">
        <f t="shared" si="55"/>
        <v>6.54</v>
      </c>
      <c r="M209" s="111">
        <f t="shared" si="55"/>
        <v>0.27500000000000002</v>
      </c>
      <c r="N209" s="111">
        <f t="shared" si="55"/>
        <v>1.6620000000000001</v>
      </c>
      <c r="O209" s="111">
        <f t="shared" si="55"/>
        <v>502.46</v>
      </c>
      <c r="P209" s="111">
        <f t="shared" si="55"/>
        <v>616.49199999999996</v>
      </c>
      <c r="Q209" s="111">
        <f t="shared" si="55"/>
        <v>2.097</v>
      </c>
      <c r="R209" s="111">
        <f t="shared" si="55"/>
        <v>3.8999999999999993E-2</v>
      </c>
      <c r="S209" s="111">
        <f t="shared" si="55"/>
        <v>127.25999999999999</v>
      </c>
      <c r="T209" s="111">
        <f t="shared" si="55"/>
        <v>3.4</v>
      </c>
      <c r="U209" s="23"/>
      <c r="V209" s="45"/>
      <c r="W209" s="45"/>
      <c r="X209" s="45"/>
    </row>
    <row r="210" spans="1:24" s="44" customFormat="1" ht="11.25" customHeight="1" x14ac:dyDescent="0.2">
      <c r="A210" s="206" t="s">
        <v>55</v>
      </c>
      <c r="B210" s="207"/>
      <c r="C210" s="207"/>
      <c r="D210" s="208"/>
      <c r="E210" s="112"/>
      <c r="F210" s="113">
        <f t="shared" ref="F210:T210" si="56">F209/F227</f>
        <v>0.23224444444444445</v>
      </c>
      <c r="G210" s="115">
        <f t="shared" si="56"/>
        <v>0.21728260869565219</v>
      </c>
      <c r="H210" s="115">
        <f t="shared" si="56"/>
        <v>0.16154046997389032</v>
      </c>
      <c r="I210" s="115">
        <f t="shared" si="56"/>
        <v>0.18774264705882351</v>
      </c>
      <c r="J210" s="115">
        <f t="shared" si="56"/>
        <v>0.23428571428571432</v>
      </c>
      <c r="K210" s="115">
        <f t="shared" si="56"/>
        <v>0.43999999999999995</v>
      </c>
      <c r="L210" s="115">
        <f t="shared" si="56"/>
        <v>9.342857142857143E-2</v>
      </c>
      <c r="M210" s="115">
        <f t="shared" si="56"/>
        <v>0.30555555555555558</v>
      </c>
      <c r="N210" s="115">
        <f t="shared" si="56"/>
        <v>0.13850000000000001</v>
      </c>
      <c r="O210" s="115">
        <f t="shared" si="56"/>
        <v>0.41871666666666663</v>
      </c>
      <c r="P210" s="115">
        <f t="shared" si="56"/>
        <v>0.51374333333333333</v>
      </c>
      <c r="Q210" s="115">
        <f t="shared" si="56"/>
        <v>0.14978571428571427</v>
      </c>
      <c r="R210" s="115">
        <f t="shared" si="56"/>
        <v>0.3899999999999999</v>
      </c>
      <c r="S210" s="115">
        <f t="shared" si="56"/>
        <v>0.42419999999999997</v>
      </c>
      <c r="T210" s="115">
        <f t="shared" si="56"/>
        <v>0.18888888888888888</v>
      </c>
      <c r="U210" s="47"/>
      <c r="V210" s="45"/>
      <c r="W210" s="45"/>
      <c r="X210" s="45"/>
    </row>
    <row r="211" spans="1:24" s="44" customFormat="1" ht="11.25" customHeight="1" x14ac:dyDescent="0.2">
      <c r="A211" s="230" t="s">
        <v>24</v>
      </c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2"/>
      <c r="U211" s="11"/>
      <c r="V211" s="21"/>
      <c r="W211" s="21"/>
      <c r="X211" s="21"/>
    </row>
    <row r="212" spans="1:24" s="60" customFormat="1" ht="20.25" customHeight="1" x14ac:dyDescent="0.2">
      <c r="A212" s="94">
        <v>71</v>
      </c>
      <c r="B212" s="193" t="s">
        <v>108</v>
      </c>
      <c r="C212" s="194"/>
      <c r="D212" s="95">
        <v>62</v>
      </c>
      <c r="E212" s="95">
        <v>15.59</v>
      </c>
      <c r="F212" s="96">
        <v>0.33</v>
      </c>
      <c r="G212" s="96">
        <v>0.04</v>
      </c>
      <c r="H212" s="96">
        <v>1.1299999999999999</v>
      </c>
      <c r="I212" s="96">
        <v>6.22</v>
      </c>
      <c r="J212" s="97">
        <v>8.9999999999999993E-3</v>
      </c>
      <c r="K212" s="96">
        <v>0.01</v>
      </c>
      <c r="L212" s="98">
        <v>3</v>
      </c>
      <c r="M212" s="97">
        <v>3.0000000000000001E-3</v>
      </c>
      <c r="N212" s="95">
        <v>0.03</v>
      </c>
      <c r="O212" s="96">
        <v>6.9</v>
      </c>
      <c r="P212" s="96">
        <v>12.6</v>
      </c>
      <c r="Q212" s="97">
        <v>6.4000000000000001E-2</v>
      </c>
      <c r="R212" s="97">
        <v>1E-3</v>
      </c>
      <c r="S212" s="96">
        <v>4.2</v>
      </c>
      <c r="T212" s="96">
        <v>0.18</v>
      </c>
      <c r="U212" s="62"/>
      <c r="V212" s="63"/>
      <c r="W212" s="63"/>
      <c r="X212" s="63"/>
    </row>
    <row r="213" spans="1:24" s="60" customFormat="1" ht="22.5" customHeight="1" x14ac:dyDescent="0.2">
      <c r="A213" s="91">
        <v>82</v>
      </c>
      <c r="B213" s="193" t="s">
        <v>73</v>
      </c>
      <c r="C213" s="194"/>
      <c r="D213" s="101">
        <v>250</v>
      </c>
      <c r="E213" s="101">
        <v>11.73</v>
      </c>
      <c r="F213" s="100">
        <v>2.4300000000000002</v>
      </c>
      <c r="G213" s="100">
        <v>3.12</v>
      </c>
      <c r="H213" s="100">
        <v>12.01</v>
      </c>
      <c r="I213" s="100">
        <f>F213*4+G213*9+H213*4</f>
        <v>85.84</v>
      </c>
      <c r="J213" s="101">
        <v>6.4000000000000001E-2</v>
      </c>
      <c r="K213" s="101">
        <v>6.4000000000000001E-2</v>
      </c>
      <c r="L213" s="100">
        <v>20.98</v>
      </c>
      <c r="M213" s="103">
        <v>7.5999999999999998E-2</v>
      </c>
      <c r="N213" s="100">
        <v>0.25700000000000001</v>
      </c>
      <c r="O213" s="100">
        <v>49.59</v>
      </c>
      <c r="P213" s="100">
        <v>58.68</v>
      </c>
      <c r="Q213" s="100">
        <v>0.746</v>
      </c>
      <c r="R213" s="103">
        <v>1.0999999999999999E-2</v>
      </c>
      <c r="S213" s="100">
        <v>25.43</v>
      </c>
      <c r="T213" s="100">
        <v>1.32</v>
      </c>
      <c r="U213" s="58"/>
      <c r="V213" s="59"/>
      <c r="W213" s="59"/>
      <c r="X213" s="59"/>
    </row>
    <row r="214" spans="1:24" s="60" customFormat="1" ht="12.75" customHeight="1" x14ac:dyDescent="0.2">
      <c r="A214" s="91">
        <v>293</v>
      </c>
      <c r="B214" s="193" t="s">
        <v>91</v>
      </c>
      <c r="C214" s="194"/>
      <c r="D214" s="99">
        <v>110</v>
      </c>
      <c r="E214" s="100">
        <v>44.3</v>
      </c>
      <c r="F214" s="100">
        <v>23.238</v>
      </c>
      <c r="G214" s="100">
        <v>13.28</v>
      </c>
      <c r="H214" s="100">
        <v>0.20599999999999999</v>
      </c>
      <c r="I214" s="100">
        <v>213.31800000000001</v>
      </c>
      <c r="J214" s="100">
        <v>0.11</v>
      </c>
      <c r="K214" s="100">
        <v>0.23</v>
      </c>
      <c r="L214" s="100">
        <v>2.8000000000000001E-2</v>
      </c>
      <c r="M214" s="99">
        <v>0</v>
      </c>
      <c r="N214" s="101">
        <v>0</v>
      </c>
      <c r="O214" s="116">
        <v>23.78</v>
      </c>
      <c r="P214" s="100">
        <v>1.95</v>
      </c>
      <c r="Q214" s="99">
        <v>0</v>
      </c>
      <c r="R214" s="99">
        <v>0</v>
      </c>
      <c r="S214" s="100">
        <v>20.87</v>
      </c>
      <c r="T214" s="100">
        <v>2.2599999999999998</v>
      </c>
      <c r="U214" s="58"/>
      <c r="V214" s="59"/>
      <c r="W214" s="59"/>
      <c r="X214" s="59"/>
    </row>
    <row r="215" spans="1:24" s="60" customFormat="1" ht="24" customHeight="1" x14ac:dyDescent="0.2">
      <c r="A215" s="91">
        <v>304</v>
      </c>
      <c r="B215" s="210" t="s">
        <v>74</v>
      </c>
      <c r="C215" s="210"/>
      <c r="D215" s="99">
        <v>180</v>
      </c>
      <c r="E215" s="100">
        <v>12.58</v>
      </c>
      <c r="F215" s="100">
        <v>4.4400000000000004</v>
      </c>
      <c r="G215" s="100">
        <v>6.44</v>
      </c>
      <c r="H215" s="100">
        <v>44.01</v>
      </c>
      <c r="I215" s="100">
        <v>251.82</v>
      </c>
      <c r="J215" s="100">
        <v>3.5999999999999997E-2</v>
      </c>
      <c r="K215" s="101">
        <v>2.4E-2</v>
      </c>
      <c r="L215" s="100">
        <v>0</v>
      </c>
      <c r="M215" s="101">
        <v>4.8000000000000001E-2</v>
      </c>
      <c r="N215" s="116">
        <v>0</v>
      </c>
      <c r="O215" s="116">
        <v>17.93</v>
      </c>
      <c r="P215" s="99">
        <v>95.25</v>
      </c>
      <c r="Q215" s="117">
        <v>0</v>
      </c>
      <c r="R215" s="116">
        <v>1E-3</v>
      </c>
      <c r="S215" s="100">
        <v>33.47</v>
      </c>
      <c r="T215" s="141">
        <v>0.70799999999999996</v>
      </c>
      <c r="U215" s="59"/>
      <c r="V215" s="59"/>
      <c r="W215" s="59"/>
      <c r="X215" s="59"/>
    </row>
    <row r="216" spans="1:24" s="64" customFormat="1" x14ac:dyDescent="0.2">
      <c r="A216" s="142">
        <v>699</v>
      </c>
      <c r="B216" s="217" t="s">
        <v>80</v>
      </c>
      <c r="C216" s="218"/>
      <c r="D216" s="143">
        <v>200</v>
      </c>
      <c r="E216" s="144">
        <v>5.2</v>
      </c>
      <c r="F216" s="144">
        <v>0.1</v>
      </c>
      <c r="G216" s="145">
        <v>0</v>
      </c>
      <c r="H216" s="146">
        <v>15.7</v>
      </c>
      <c r="I216" s="144">
        <v>63.2</v>
      </c>
      <c r="J216" s="145">
        <v>1.7999999999999999E-2</v>
      </c>
      <c r="K216" s="145">
        <v>1.2E-2</v>
      </c>
      <c r="L216" s="146">
        <v>8</v>
      </c>
      <c r="M216" s="145">
        <v>0</v>
      </c>
      <c r="N216" s="144">
        <v>0.2</v>
      </c>
      <c r="O216" s="144">
        <v>10.8</v>
      </c>
      <c r="P216" s="144">
        <v>1.7</v>
      </c>
      <c r="Q216" s="144">
        <v>0</v>
      </c>
      <c r="R216" s="147">
        <v>0</v>
      </c>
      <c r="S216" s="144">
        <v>5.8</v>
      </c>
      <c r="T216" s="144">
        <v>1.6</v>
      </c>
    </row>
    <row r="217" spans="1:24" s="60" customFormat="1" ht="11.25" customHeight="1" x14ac:dyDescent="0.2">
      <c r="A217" s="120" t="s">
        <v>58</v>
      </c>
      <c r="B217" s="193" t="s">
        <v>42</v>
      </c>
      <c r="C217" s="194"/>
      <c r="D217" s="99">
        <v>40</v>
      </c>
      <c r="E217" s="100">
        <v>2.08</v>
      </c>
      <c r="F217" s="100">
        <f>2.64*D217/40</f>
        <v>2.64</v>
      </c>
      <c r="G217" s="100">
        <f>0.48*D217/40</f>
        <v>0.48</v>
      </c>
      <c r="H217" s="100">
        <f>13.68*D217/40</f>
        <v>13.680000000000001</v>
      </c>
      <c r="I217" s="116">
        <f>F217*4+G217*9+H217*4</f>
        <v>69.600000000000009</v>
      </c>
      <c r="J217" s="101">
        <f>0.08*D217/40</f>
        <v>0.08</v>
      </c>
      <c r="K217" s="100">
        <f>0.04*D217/40</f>
        <v>0.04</v>
      </c>
      <c r="L217" s="99">
        <v>0</v>
      </c>
      <c r="M217" s="99">
        <v>0</v>
      </c>
      <c r="N217" s="100">
        <f>2.4*D217/40</f>
        <v>2.4</v>
      </c>
      <c r="O217" s="100">
        <f>14*D217/40</f>
        <v>14</v>
      </c>
      <c r="P217" s="100">
        <f>63.2*D217/40</f>
        <v>63.2</v>
      </c>
      <c r="Q217" s="100">
        <f>1.2*D217/40</f>
        <v>1.2</v>
      </c>
      <c r="R217" s="103">
        <f>0.001*D217/40</f>
        <v>1E-3</v>
      </c>
      <c r="S217" s="100">
        <f>9.4*D217/40</f>
        <v>9.4</v>
      </c>
      <c r="T217" s="101">
        <f>0.78*D217/40</f>
        <v>0.78</v>
      </c>
      <c r="U217" s="66"/>
      <c r="V217" s="67"/>
      <c r="W217" s="67"/>
      <c r="X217" s="67"/>
    </row>
    <row r="218" spans="1:24" s="60" customFormat="1" ht="11.25" customHeight="1" x14ac:dyDescent="0.2">
      <c r="A218" s="102" t="s">
        <v>58</v>
      </c>
      <c r="B218" s="193" t="s">
        <v>47</v>
      </c>
      <c r="C218" s="194"/>
      <c r="D218" s="99">
        <v>30</v>
      </c>
      <c r="E218" s="100">
        <v>2.52</v>
      </c>
      <c r="F218" s="100">
        <f>1.52*D218/30</f>
        <v>1.52</v>
      </c>
      <c r="G218" s="103">
        <f>0.16*D218/30</f>
        <v>0.16</v>
      </c>
      <c r="H218" s="103">
        <f>9.84*D218/30</f>
        <v>9.84</v>
      </c>
      <c r="I218" s="103">
        <f>F218*4+G218*9+H218*4</f>
        <v>46.879999999999995</v>
      </c>
      <c r="J218" s="103">
        <f>0.02*D218/30</f>
        <v>0.02</v>
      </c>
      <c r="K218" s="103">
        <f>0.01*D218/30</f>
        <v>0.01</v>
      </c>
      <c r="L218" s="103">
        <f>0.44*D218/30</f>
        <v>0.44</v>
      </c>
      <c r="M218" s="103">
        <v>0</v>
      </c>
      <c r="N218" s="103">
        <f>0.7*D218/30</f>
        <v>0.7</v>
      </c>
      <c r="O218" s="103">
        <f>4*D218/30</f>
        <v>4</v>
      </c>
      <c r="P218" s="103">
        <f>13*D218/30</f>
        <v>13</v>
      </c>
      <c r="Q218" s="103">
        <f>0.008*D218/30</f>
        <v>8.0000000000000002E-3</v>
      </c>
      <c r="R218" s="103">
        <f>0.001*D218/30</f>
        <v>1E-3</v>
      </c>
      <c r="S218" s="103">
        <v>0</v>
      </c>
      <c r="T218" s="103">
        <f>0.22*D218/30</f>
        <v>0.22</v>
      </c>
      <c r="U218" s="58"/>
      <c r="V218" s="59"/>
      <c r="W218" s="59"/>
      <c r="X218" s="59"/>
    </row>
    <row r="219" spans="1:24" s="44" customFormat="1" ht="22.5" customHeight="1" x14ac:dyDescent="0.2">
      <c r="A219" s="108" t="s">
        <v>25</v>
      </c>
      <c r="B219" s="109"/>
      <c r="C219" s="109"/>
      <c r="D219" s="133">
        <f t="shared" ref="D219:I219" si="57">SUM(D212:D218)</f>
        <v>872</v>
      </c>
      <c r="E219" s="166">
        <f t="shared" si="57"/>
        <v>94</v>
      </c>
      <c r="F219" s="121">
        <f t="shared" si="57"/>
        <v>34.698000000000008</v>
      </c>
      <c r="G219" s="122">
        <f t="shared" si="57"/>
        <v>23.52</v>
      </c>
      <c r="H219" s="122">
        <f t="shared" si="57"/>
        <v>96.576000000000008</v>
      </c>
      <c r="I219" s="122">
        <f t="shared" si="57"/>
        <v>736.87800000000016</v>
      </c>
      <c r="J219" s="121">
        <f t="shared" ref="J219:T219" si="58">SUM(J212:J218)</f>
        <v>0.33700000000000002</v>
      </c>
      <c r="K219" s="121">
        <f t="shared" si="58"/>
        <v>0.39</v>
      </c>
      <c r="L219" s="122">
        <f t="shared" si="58"/>
        <v>32.447999999999993</v>
      </c>
      <c r="M219" s="121">
        <f t="shared" si="58"/>
        <v>0.127</v>
      </c>
      <c r="N219" s="124">
        <f t="shared" si="58"/>
        <v>3.5869999999999997</v>
      </c>
      <c r="O219" s="121">
        <f t="shared" si="58"/>
        <v>127.00000000000001</v>
      </c>
      <c r="P219" s="122">
        <f t="shared" si="58"/>
        <v>246.38</v>
      </c>
      <c r="Q219" s="121">
        <f t="shared" si="58"/>
        <v>2.0179999999999998</v>
      </c>
      <c r="R219" s="121">
        <f t="shared" si="58"/>
        <v>1.5000000000000003E-2</v>
      </c>
      <c r="S219" s="121">
        <f t="shared" si="58"/>
        <v>99.17</v>
      </c>
      <c r="T219" s="121">
        <f t="shared" si="58"/>
        <v>7.0679999999999996</v>
      </c>
      <c r="U219" s="23"/>
      <c r="V219" s="45"/>
      <c r="W219" s="45"/>
      <c r="X219" s="45"/>
    </row>
    <row r="220" spans="1:24" s="44" customFormat="1" x14ac:dyDescent="0.2">
      <c r="A220" s="206" t="s">
        <v>55</v>
      </c>
      <c r="B220" s="207"/>
      <c r="C220" s="207"/>
      <c r="D220" s="208"/>
      <c r="E220" s="112"/>
      <c r="F220" s="113">
        <f t="shared" ref="F220:T220" si="59">F219/F227</f>
        <v>0.38553333333333339</v>
      </c>
      <c r="G220" s="115">
        <f t="shared" si="59"/>
        <v>0.25565217391304346</v>
      </c>
      <c r="H220" s="115">
        <f t="shared" si="59"/>
        <v>0.2521566579634465</v>
      </c>
      <c r="I220" s="115">
        <f t="shared" si="59"/>
        <v>0.27091102941176476</v>
      </c>
      <c r="J220" s="115">
        <f t="shared" si="59"/>
        <v>0.24071428571428574</v>
      </c>
      <c r="K220" s="115">
        <f t="shared" si="59"/>
        <v>0.24374999999999999</v>
      </c>
      <c r="L220" s="115">
        <f t="shared" si="59"/>
        <v>0.46354285714285703</v>
      </c>
      <c r="M220" s="115">
        <f t="shared" si="59"/>
        <v>0.1411111111111111</v>
      </c>
      <c r="N220" s="115">
        <f t="shared" si="59"/>
        <v>0.29891666666666666</v>
      </c>
      <c r="O220" s="115">
        <f t="shared" si="59"/>
        <v>0.10583333333333335</v>
      </c>
      <c r="P220" s="115">
        <f t="shared" si="59"/>
        <v>0.20531666666666668</v>
      </c>
      <c r="Q220" s="115">
        <f t="shared" si="59"/>
        <v>0.14414285714285713</v>
      </c>
      <c r="R220" s="115">
        <f t="shared" si="59"/>
        <v>0.15000000000000002</v>
      </c>
      <c r="S220" s="115">
        <f t="shared" si="59"/>
        <v>0.33056666666666668</v>
      </c>
      <c r="T220" s="115">
        <f t="shared" si="59"/>
        <v>0.39266666666666666</v>
      </c>
      <c r="U220" s="47"/>
      <c r="V220" s="45"/>
      <c r="W220" s="45"/>
      <c r="X220" s="45"/>
    </row>
    <row r="221" spans="1:24" s="44" customFormat="1" ht="15" customHeight="1" x14ac:dyDescent="0.2">
      <c r="A221" s="239" t="s">
        <v>26</v>
      </c>
      <c r="B221" s="240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0"/>
      <c r="N221" s="240"/>
      <c r="O221" s="240"/>
      <c r="P221" s="240"/>
      <c r="Q221" s="240"/>
      <c r="R221" s="240"/>
      <c r="S221" s="240"/>
      <c r="T221" s="241"/>
      <c r="U221" s="6"/>
      <c r="V221" s="19"/>
      <c r="W221" s="19"/>
      <c r="X221" s="19"/>
    </row>
    <row r="222" spans="1:24" s="42" customFormat="1" ht="11.25" customHeight="1" x14ac:dyDescent="0.2">
      <c r="A222" s="125"/>
      <c r="B222" s="234"/>
      <c r="C222" s="235"/>
      <c r="D222" s="126"/>
      <c r="E222" s="127"/>
      <c r="F222" s="127"/>
      <c r="G222" s="127"/>
      <c r="H222" s="127"/>
      <c r="I222" s="127"/>
      <c r="J222" s="127"/>
      <c r="K222" s="127"/>
      <c r="L222" s="130"/>
      <c r="M222" s="127"/>
      <c r="N222" s="129"/>
      <c r="O222" s="130"/>
      <c r="P222" s="127"/>
      <c r="Q222" s="130"/>
      <c r="R222" s="126"/>
      <c r="S222" s="127"/>
      <c r="T222" s="127"/>
    </row>
    <row r="223" spans="1:24" s="42" customFormat="1" ht="11.25" customHeight="1" x14ac:dyDescent="0.2">
      <c r="A223" s="131"/>
      <c r="B223" s="242"/>
      <c r="C223" s="243"/>
      <c r="D223" s="118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</row>
    <row r="224" spans="1:24" s="1" customFormat="1" ht="11.25" customHeight="1" x14ac:dyDescent="0.2">
      <c r="A224" s="108" t="s">
        <v>27</v>
      </c>
      <c r="B224" s="109"/>
      <c r="C224" s="109"/>
      <c r="D224" s="110">
        <f t="shared" ref="D224:T224" si="60">SUM(D222:D223)</f>
        <v>0</v>
      </c>
      <c r="E224" s="111">
        <f t="shared" si="60"/>
        <v>0</v>
      </c>
      <c r="F224" s="121">
        <f t="shared" si="60"/>
        <v>0</v>
      </c>
      <c r="G224" s="122">
        <f t="shared" si="60"/>
        <v>0</v>
      </c>
      <c r="H224" s="122">
        <f t="shared" si="60"/>
        <v>0</v>
      </c>
      <c r="I224" s="122">
        <f t="shared" si="60"/>
        <v>0</v>
      </c>
      <c r="J224" s="122">
        <f t="shared" si="60"/>
        <v>0</v>
      </c>
      <c r="K224" s="122">
        <f t="shared" si="60"/>
        <v>0</v>
      </c>
      <c r="L224" s="122">
        <f t="shared" si="60"/>
        <v>0</v>
      </c>
      <c r="M224" s="122">
        <f t="shared" si="60"/>
        <v>0</v>
      </c>
      <c r="N224" s="122">
        <f t="shared" si="60"/>
        <v>0</v>
      </c>
      <c r="O224" s="122">
        <f t="shared" si="60"/>
        <v>0</v>
      </c>
      <c r="P224" s="122">
        <f t="shared" si="60"/>
        <v>0</v>
      </c>
      <c r="Q224" s="122">
        <f t="shared" si="60"/>
        <v>0</v>
      </c>
      <c r="R224" s="124">
        <f t="shared" si="60"/>
        <v>0</v>
      </c>
      <c r="S224" s="122">
        <f t="shared" si="60"/>
        <v>0</v>
      </c>
      <c r="T224" s="122">
        <f t="shared" si="60"/>
        <v>0</v>
      </c>
      <c r="U224" s="23"/>
      <c r="V224" s="45"/>
      <c r="W224" s="45"/>
      <c r="X224" s="45"/>
    </row>
    <row r="225" spans="1:24" s="1" customFormat="1" ht="11.25" customHeight="1" x14ac:dyDescent="0.2">
      <c r="A225" s="206" t="s">
        <v>55</v>
      </c>
      <c r="B225" s="207"/>
      <c r="C225" s="207"/>
      <c r="D225" s="208"/>
      <c r="E225" s="132"/>
      <c r="F225" s="114">
        <f>F224/F227</f>
        <v>0</v>
      </c>
      <c r="G225" s="115">
        <f t="shared" ref="G225:T225" si="61">G224/G227</f>
        <v>0</v>
      </c>
      <c r="H225" s="115">
        <f t="shared" si="61"/>
        <v>0</v>
      </c>
      <c r="I225" s="115">
        <f t="shared" si="61"/>
        <v>0</v>
      </c>
      <c r="J225" s="115">
        <f t="shared" si="61"/>
        <v>0</v>
      </c>
      <c r="K225" s="115">
        <f t="shared" si="61"/>
        <v>0</v>
      </c>
      <c r="L225" s="115">
        <f t="shared" si="61"/>
        <v>0</v>
      </c>
      <c r="M225" s="115">
        <f t="shared" si="61"/>
        <v>0</v>
      </c>
      <c r="N225" s="115">
        <f t="shared" si="61"/>
        <v>0</v>
      </c>
      <c r="O225" s="115">
        <f t="shared" si="61"/>
        <v>0</v>
      </c>
      <c r="P225" s="115">
        <f t="shared" si="61"/>
        <v>0</v>
      </c>
      <c r="Q225" s="115">
        <f t="shared" si="61"/>
        <v>0</v>
      </c>
      <c r="R225" s="115">
        <f t="shared" si="61"/>
        <v>0</v>
      </c>
      <c r="S225" s="115">
        <f t="shared" si="61"/>
        <v>0</v>
      </c>
      <c r="T225" s="115">
        <f t="shared" si="61"/>
        <v>0</v>
      </c>
      <c r="U225" s="47"/>
      <c r="V225" s="45"/>
      <c r="W225" s="45"/>
      <c r="X225" s="45"/>
    </row>
    <row r="226" spans="1:24" s="1" customFormat="1" ht="11.25" customHeight="1" x14ac:dyDescent="0.2">
      <c r="A226" s="108" t="s">
        <v>54</v>
      </c>
      <c r="B226" s="109"/>
      <c r="C226" s="109"/>
      <c r="D226" s="133">
        <f>D219+D209</f>
        <v>1448</v>
      </c>
      <c r="E226" s="134">
        <f>E219+E209</f>
        <v>167</v>
      </c>
      <c r="F226" s="121">
        <f t="shared" ref="F226:T226" si="62">SUM(F209,F219,F224)</f>
        <v>55.600000000000009</v>
      </c>
      <c r="G226" s="122">
        <f t="shared" si="62"/>
        <v>43.510000000000005</v>
      </c>
      <c r="H226" s="122">
        <f t="shared" si="62"/>
        <v>158.446</v>
      </c>
      <c r="I226" s="122">
        <f t="shared" si="62"/>
        <v>1247.538</v>
      </c>
      <c r="J226" s="121">
        <f t="shared" si="62"/>
        <v>0.66500000000000004</v>
      </c>
      <c r="K226" s="121">
        <f t="shared" si="62"/>
        <v>1.0939999999999999</v>
      </c>
      <c r="L226" s="122">
        <f t="shared" si="62"/>
        <v>38.987999999999992</v>
      </c>
      <c r="M226" s="121">
        <f t="shared" si="62"/>
        <v>0.40200000000000002</v>
      </c>
      <c r="N226" s="121">
        <f t="shared" si="62"/>
        <v>5.2489999999999997</v>
      </c>
      <c r="O226" s="122">
        <f t="shared" si="62"/>
        <v>629.46</v>
      </c>
      <c r="P226" s="122">
        <f t="shared" si="62"/>
        <v>862.87199999999996</v>
      </c>
      <c r="Q226" s="121">
        <f t="shared" si="62"/>
        <v>4.1150000000000002</v>
      </c>
      <c r="R226" s="124">
        <f t="shared" si="62"/>
        <v>5.3999999999999992E-2</v>
      </c>
      <c r="S226" s="121">
        <f t="shared" si="62"/>
        <v>226.43</v>
      </c>
      <c r="T226" s="121">
        <f t="shared" si="62"/>
        <v>10.468</v>
      </c>
      <c r="U226" s="25"/>
      <c r="V226" s="45"/>
      <c r="W226" s="45"/>
      <c r="X226" s="45"/>
    </row>
    <row r="227" spans="1:24" s="1" customFormat="1" ht="11.25" customHeight="1" x14ac:dyDescent="0.2">
      <c r="A227" s="186" t="s">
        <v>56</v>
      </c>
      <c r="B227" s="187"/>
      <c r="C227" s="187"/>
      <c r="D227" s="188"/>
      <c r="E227" s="135"/>
      <c r="F227" s="100">
        <v>90</v>
      </c>
      <c r="G227" s="116">
        <v>92</v>
      </c>
      <c r="H227" s="116">
        <v>383</v>
      </c>
      <c r="I227" s="116">
        <v>2720</v>
      </c>
      <c r="J227" s="100">
        <v>1.4</v>
      </c>
      <c r="K227" s="100">
        <v>1.6</v>
      </c>
      <c r="L227" s="99">
        <v>70</v>
      </c>
      <c r="M227" s="100">
        <v>0.9</v>
      </c>
      <c r="N227" s="99">
        <v>12</v>
      </c>
      <c r="O227" s="99">
        <v>1200</v>
      </c>
      <c r="P227" s="99">
        <v>1200</v>
      </c>
      <c r="Q227" s="99">
        <v>14</v>
      </c>
      <c r="R227" s="116">
        <v>0.1</v>
      </c>
      <c r="S227" s="99">
        <v>300</v>
      </c>
      <c r="T227" s="100">
        <v>18</v>
      </c>
      <c r="U227" s="48"/>
      <c r="V227" s="49"/>
      <c r="W227" s="49"/>
      <c r="X227" s="49"/>
    </row>
    <row r="228" spans="1:24" s="1" customFormat="1" ht="11.25" customHeight="1" x14ac:dyDescent="0.2">
      <c r="A228" s="206" t="s">
        <v>55</v>
      </c>
      <c r="B228" s="207"/>
      <c r="C228" s="207"/>
      <c r="D228" s="208"/>
      <c r="E228" s="132"/>
      <c r="F228" s="114">
        <f t="shared" ref="F228:T228" si="63">F226/F227</f>
        <v>0.61777777777777787</v>
      </c>
      <c r="G228" s="115">
        <f t="shared" si="63"/>
        <v>0.4729347826086957</v>
      </c>
      <c r="H228" s="115">
        <f t="shared" si="63"/>
        <v>0.41369712793733682</v>
      </c>
      <c r="I228" s="115">
        <f t="shared" si="63"/>
        <v>0.45865367647058825</v>
      </c>
      <c r="J228" s="115">
        <f t="shared" si="63"/>
        <v>0.47500000000000003</v>
      </c>
      <c r="K228" s="115">
        <f t="shared" si="63"/>
        <v>0.68374999999999986</v>
      </c>
      <c r="L228" s="115">
        <f t="shared" si="63"/>
        <v>0.55697142857142845</v>
      </c>
      <c r="M228" s="136">
        <f t="shared" si="63"/>
        <v>0.44666666666666666</v>
      </c>
      <c r="N228" s="115">
        <f t="shared" si="63"/>
        <v>0.43741666666666662</v>
      </c>
      <c r="O228" s="115">
        <f t="shared" si="63"/>
        <v>0.52455000000000007</v>
      </c>
      <c r="P228" s="115">
        <f t="shared" si="63"/>
        <v>0.71905999999999992</v>
      </c>
      <c r="Q228" s="115">
        <f t="shared" si="63"/>
        <v>0.29392857142857143</v>
      </c>
      <c r="R228" s="136">
        <f t="shared" si="63"/>
        <v>0.53999999999999992</v>
      </c>
      <c r="S228" s="115">
        <f t="shared" si="63"/>
        <v>0.7547666666666667</v>
      </c>
      <c r="T228" s="136">
        <f t="shared" si="63"/>
        <v>0.5815555555555556</v>
      </c>
      <c r="U228" s="26"/>
      <c r="V228" s="27"/>
      <c r="W228" s="27"/>
      <c r="X228" s="27"/>
    </row>
    <row r="229" spans="1:24" s="1" customFormat="1" ht="11.25" customHeight="1" x14ac:dyDescent="0.2">
      <c r="A229" s="209" t="s">
        <v>38</v>
      </c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8"/>
      <c r="V229" s="20"/>
      <c r="W229" s="20"/>
      <c r="X229" s="20"/>
    </row>
    <row r="230" spans="1:24" s="1" customFormat="1" ht="11.25" customHeight="1" x14ac:dyDescent="0.2">
      <c r="A230" s="84" t="s">
        <v>49</v>
      </c>
      <c r="B230" s="85"/>
      <c r="C230" s="85"/>
      <c r="D230" s="79"/>
      <c r="E230" s="79"/>
      <c r="F230" s="82"/>
      <c r="G230" s="181" t="s">
        <v>31</v>
      </c>
      <c r="H230" s="181"/>
      <c r="I230" s="181"/>
      <c r="J230" s="81"/>
      <c r="K230" s="81"/>
      <c r="L230" s="199" t="s">
        <v>1</v>
      </c>
      <c r="M230" s="199"/>
      <c r="N230" s="211" t="str">
        <f>N199</f>
        <v>осенне-зимний</v>
      </c>
      <c r="O230" s="211"/>
      <c r="P230" s="211"/>
      <c r="Q230" s="211"/>
      <c r="R230" s="81"/>
      <c r="S230" s="81"/>
      <c r="T230" s="81"/>
      <c r="U230" s="9"/>
      <c r="V230" s="15"/>
      <c r="W230" s="15"/>
      <c r="X230" s="15"/>
    </row>
    <row r="231" spans="1:24" s="1" customFormat="1" ht="11.25" customHeight="1" x14ac:dyDescent="0.2">
      <c r="A231" s="85"/>
      <c r="B231" s="85"/>
      <c r="C231" s="85"/>
      <c r="D231" s="198" t="s">
        <v>2</v>
      </c>
      <c r="E231" s="198"/>
      <c r="F231" s="198"/>
      <c r="G231" s="86">
        <v>2</v>
      </c>
      <c r="H231" s="81"/>
      <c r="I231" s="79"/>
      <c r="J231" s="79"/>
      <c r="K231" s="79"/>
      <c r="L231" s="198" t="s">
        <v>3</v>
      </c>
      <c r="M231" s="198"/>
      <c r="N231" s="181" t="str">
        <f>N200</f>
        <v>с 7-11 лет;12 и старше</v>
      </c>
      <c r="O231" s="181"/>
      <c r="P231" s="181"/>
      <c r="Q231" s="181"/>
      <c r="R231" s="181"/>
      <c r="S231" s="181"/>
      <c r="T231" s="181"/>
      <c r="U231" s="10"/>
      <c r="V231" s="16"/>
      <c r="W231" s="16"/>
      <c r="X231" s="16"/>
    </row>
    <row r="232" spans="1:24" s="1" customFormat="1" ht="21.75" customHeight="1" x14ac:dyDescent="0.2">
      <c r="A232" s="201" t="s">
        <v>4</v>
      </c>
      <c r="B232" s="182" t="s">
        <v>5</v>
      </c>
      <c r="C232" s="183"/>
      <c r="D232" s="201" t="s">
        <v>6</v>
      </c>
      <c r="E232" s="87"/>
      <c r="F232" s="189" t="s">
        <v>7</v>
      </c>
      <c r="G232" s="190"/>
      <c r="H232" s="191"/>
      <c r="I232" s="201" t="s">
        <v>8</v>
      </c>
      <c r="J232" s="189" t="s">
        <v>9</v>
      </c>
      <c r="K232" s="190"/>
      <c r="L232" s="190"/>
      <c r="M232" s="190"/>
      <c r="N232" s="191"/>
      <c r="O232" s="189" t="s">
        <v>10</v>
      </c>
      <c r="P232" s="190"/>
      <c r="Q232" s="190"/>
      <c r="R232" s="190"/>
      <c r="S232" s="190"/>
      <c r="T232" s="191"/>
      <c r="U232" s="4"/>
      <c r="V232" s="17"/>
      <c r="W232" s="17"/>
      <c r="X232" s="17"/>
    </row>
    <row r="233" spans="1:24" s="1" customFormat="1" ht="21" customHeight="1" x14ac:dyDescent="0.2">
      <c r="A233" s="202"/>
      <c r="B233" s="184"/>
      <c r="C233" s="185"/>
      <c r="D233" s="202"/>
      <c r="E233" s="88"/>
      <c r="F233" s="89" t="s">
        <v>11</v>
      </c>
      <c r="G233" s="90" t="s">
        <v>12</v>
      </c>
      <c r="H233" s="90" t="s">
        <v>13</v>
      </c>
      <c r="I233" s="202"/>
      <c r="J233" s="90" t="s">
        <v>14</v>
      </c>
      <c r="K233" s="90" t="s">
        <v>50</v>
      </c>
      <c r="L233" s="90" t="s">
        <v>15</v>
      </c>
      <c r="M233" s="90" t="s">
        <v>16</v>
      </c>
      <c r="N233" s="90" t="s">
        <v>17</v>
      </c>
      <c r="O233" s="90" t="s">
        <v>18</v>
      </c>
      <c r="P233" s="90" t="s">
        <v>19</v>
      </c>
      <c r="Q233" s="90" t="s">
        <v>51</v>
      </c>
      <c r="R233" s="90" t="s">
        <v>52</v>
      </c>
      <c r="S233" s="90" t="s">
        <v>20</v>
      </c>
      <c r="T233" s="90" t="s">
        <v>21</v>
      </c>
      <c r="U233" s="4"/>
      <c r="V233" s="17"/>
      <c r="W233" s="17"/>
      <c r="X233" s="17"/>
    </row>
    <row r="234" spans="1:24" s="1" customFormat="1" ht="11.25" customHeight="1" x14ac:dyDescent="0.2">
      <c r="A234" s="91">
        <v>1</v>
      </c>
      <c r="B234" s="195">
        <v>2</v>
      </c>
      <c r="C234" s="196"/>
      <c r="D234" s="92">
        <v>3</v>
      </c>
      <c r="E234" s="92"/>
      <c r="F234" s="93">
        <v>4</v>
      </c>
      <c r="G234" s="92">
        <v>5</v>
      </c>
      <c r="H234" s="92">
        <v>6</v>
      </c>
      <c r="I234" s="92">
        <v>7</v>
      </c>
      <c r="J234" s="92">
        <v>8</v>
      </c>
      <c r="K234" s="92">
        <v>9</v>
      </c>
      <c r="L234" s="92">
        <v>10</v>
      </c>
      <c r="M234" s="92">
        <v>11</v>
      </c>
      <c r="N234" s="92">
        <v>12</v>
      </c>
      <c r="O234" s="92">
        <v>13</v>
      </c>
      <c r="P234" s="92">
        <v>14</v>
      </c>
      <c r="Q234" s="92">
        <v>15</v>
      </c>
      <c r="R234" s="92">
        <v>16</v>
      </c>
      <c r="S234" s="92">
        <v>17</v>
      </c>
      <c r="T234" s="92">
        <v>18</v>
      </c>
      <c r="U234" s="5"/>
      <c r="V234" s="18"/>
      <c r="W234" s="18"/>
      <c r="X234" s="18"/>
    </row>
    <row r="235" spans="1:24" s="1" customFormat="1" ht="11.25" customHeight="1" x14ac:dyDescent="0.2">
      <c r="A235" s="222" t="s">
        <v>81</v>
      </c>
      <c r="B235" s="223"/>
      <c r="C235" s="223"/>
      <c r="D235" s="223"/>
      <c r="E235" s="223"/>
      <c r="F235" s="223"/>
      <c r="G235" s="223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4"/>
      <c r="U235" s="6"/>
      <c r="V235" s="19"/>
      <c r="W235" s="19"/>
      <c r="X235" s="19"/>
    </row>
    <row r="236" spans="1:24" s="60" customFormat="1" ht="21.75" customHeight="1" x14ac:dyDescent="0.2">
      <c r="A236" s="91">
        <v>173</v>
      </c>
      <c r="B236" s="193" t="s">
        <v>97</v>
      </c>
      <c r="C236" s="194"/>
      <c r="D236" s="99">
        <v>200</v>
      </c>
      <c r="E236" s="100">
        <v>23.87</v>
      </c>
      <c r="F236" s="100">
        <v>7.3</v>
      </c>
      <c r="G236" s="100">
        <v>12.5</v>
      </c>
      <c r="H236" s="100">
        <v>54.3</v>
      </c>
      <c r="I236" s="100">
        <v>358.9</v>
      </c>
      <c r="J236" s="100">
        <v>0.14000000000000001</v>
      </c>
      <c r="K236" s="100">
        <v>0.18</v>
      </c>
      <c r="L236" s="100">
        <v>3.35</v>
      </c>
      <c r="M236" s="103">
        <v>3.6999999999999998E-2</v>
      </c>
      <c r="N236" s="101">
        <v>1.3</v>
      </c>
      <c r="O236" s="100">
        <v>147.6</v>
      </c>
      <c r="P236" s="100">
        <v>198.6</v>
      </c>
      <c r="Q236" s="99">
        <v>0</v>
      </c>
      <c r="R236" s="103">
        <v>0</v>
      </c>
      <c r="S236" s="100">
        <v>57.8</v>
      </c>
      <c r="T236" s="100">
        <v>1.3</v>
      </c>
      <c r="U236" s="58"/>
      <c r="V236" s="65"/>
      <c r="W236" s="65"/>
      <c r="X236" s="65"/>
    </row>
    <row r="237" spans="1:24" s="60" customFormat="1" ht="12.75" customHeight="1" x14ac:dyDescent="0.2">
      <c r="A237" s="138">
        <v>3</v>
      </c>
      <c r="B237" s="205" t="s">
        <v>93</v>
      </c>
      <c r="C237" s="205"/>
      <c r="D237" s="126">
        <v>45</v>
      </c>
      <c r="E237" s="127">
        <v>13.32</v>
      </c>
      <c r="F237" s="127">
        <v>6.45</v>
      </c>
      <c r="G237" s="150">
        <v>7.27</v>
      </c>
      <c r="H237" s="127">
        <v>17.77</v>
      </c>
      <c r="I237" s="127">
        <v>162.25</v>
      </c>
      <c r="J237" s="127">
        <v>0.04</v>
      </c>
      <c r="K237" s="127">
        <v>0.02</v>
      </c>
      <c r="L237" s="126">
        <v>10</v>
      </c>
      <c r="M237" s="126">
        <v>0.02</v>
      </c>
      <c r="N237" s="127">
        <v>0.2</v>
      </c>
      <c r="O237" s="127">
        <v>16</v>
      </c>
      <c r="P237" s="127">
        <v>11</v>
      </c>
      <c r="Q237" s="126">
        <v>0.03</v>
      </c>
      <c r="R237" s="126">
        <v>2E-3</v>
      </c>
      <c r="S237" s="127">
        <v>9</v>
      </c>
      <c r="T237" s="127">
        <v>2.2000000000000002</v>
      </c>
      <c r="U237" s="71"/>
      <c r="V237" s="71"/>
      <c r="W237" s="71"/>
      <c r="X237" s="71"/>
    </row>
    <row r="238" spans="1:24" s="60" customFormat="1" ht="12.75" customHeight="1" x14ac:dyDescent="0.2">
      <c r="A238" s="91">
        <v>377</v>
      </c>
      <c r="B238" s="210" t="s">
        <v>41</v>
      </c>
      <c r="C238" s="210"/>
      <c r="D238" s="99">
        <v>200</v>
      </c>
      <c r="E238" s="100">
        <v>3.81</v>
      </c>
      <c r="F238" s="100">
        <v>0.26</v>
      </c>
      <c r="G238" s="100">
        <v>0.06</v>
      </c>
      <c r="H238" s="100">
        <v>15.22</v>
      </c>
      <c r="I238" s="100">
        <f>F238*4+G238*9+H238*4</f>
        <v>62.46</v>
      </c>
      <c r="J238" s="100"/>
      <c r="K238" s="100">
        <v>0.01</v>
      </c>
      <c r="L238" s="100">
        <v>2.9</v>
      </c>
      <c r="M238" s="101">
        <v>0</v>
      </c>
      <c r="N238" s="100">
        <v>0.06</v>
      </c>
      <c r="O238" s="100">
        <v>8.0500000000000007</v>
      </c>
      <c r="P238" s="100">
        <v>9.7799999999999994</v>
      </c>
      <c r="Q238" s="100">
        <v>1.7000000000000001E-2</v>
      </c>
      <c r="R238" s="103">
        <v>0</v>
      </c>
      <c r="S238" s="100">
        <v>5.24</v>
      </c>
      <c r="T238" s="100">
        <v>0.87</v>
      </c>
      <c r="U238" s="58"/>
      <c r="V238" s="59"/>
      <c r="W238" s="59"/>
      <c r="X238" s="59"/>
    </row>
    <row r="239" spans="1:24" s="60" customFormat="1" ht="11.25" customHeight="1" x14ac:dyDescent="0.2">
      <c r="A239" s="151">
        <v>338</v>
      </c>
      <c r="B239" s="210" t="s">
        <v>76</v>
      </c>
      <c r="C239" s="210"/>
      <c r="D239" s="99">
        <v>120</v>
      </c>
      <c r="E239" s="100">
        <v>32</v>
      </c>
      <c r="F239" s="100">
        <v>1.5</v>
      </c>
      <c r="G239" s="100">
        <v>0.5</v>
      </c>
      <c r="H239" s="100">
        <v>2.1</v>
      </c>
      <c r="I239" s="100">
        <v>94.5</v>
      </c>
      <c r="J239" s="100">
        <v>0.04</v>
      </c>
      <c r="K239" s="100">
        <v>0.02</v>
      </c>
      <c r="L239" s="99">
        <v>10</v>
      </c>
      <c r="M239" s="99">
        <v>0.02</v>
      </c>
      <c r="N239" s="100">
        <v>0.2</v>
      </c>
      <c r="O239" s="100">
        <v>16</v>
      </c>
      <c r="P239" s="100">
        <v>11</v>
      </c>
      <c r="Q239" s="99">
        <v>0.03</v>
      </c>
      <c r="R239" s="99">
        <v>2E-3</v>
      </c>
      <c r="S239" s="100">
        <v>9</v>
      </c>
      <c r="T239" s="100">
        <v>2.2000000000000002</v>
      </c>
      <c r="U239" s="58"/>
      <c r="V239" s="69"/>
      <c r="W239" s="69"/>
      <c r="X239" s="70"/>
    </row>
    <row r="240" spans="1:24" s="44" customFormat="1" ht="11.25" customHeight="1" x14ac:dyDescent="0.2">
      <c r="A240" s="139" t="s">
        <v>82</v>
      </c>
      <c r="B240" s="140"/>
      <c r="C240" s="140"/>
      <c r="D240" s="110">
        <f t="shared" ref="D240:I240" si="64">SUM(D236:D239)</f>
        <v>565</v>
      </c>
      <c r="E240" s="111">
        <f t="shared" si="64"/>
        <v>73</v>
      </c>
      <c r="F240" s="121">
        <f t="shared" si="64"/>
        <v>15.51</v>
      </c>
      <c r="G240" s="121">
        <f t="shared" si="64"/>
        <v>20.329999999999998</v>
      </c>
      <c r="H240" s="121">
        <f t="shared" si="64"/>
        <v>89.389999999999986</v>
      </c>
      <c r="I240" s="121">
        <f t="shared" si="64"/>
        <v>678.11</v>
      </c>
      <c r="J240" s="121">
        <f t="shared" ref="J240:T240" si="65">SUM(J236:J239)</f>
        <v>0.22000000000000003</v>
      </c>
      <c r="K240" s="121">
        <f t="shared" si="65"/>
        <v>0.22999999999999998</v>
      </c>
      <c r="L240" s="121">
        <f t="shared" si="65"/>
        <v>26.25</v>
      </c>
      <c r="M240" s="121">
        <f t="shared" si="65"/>
        <v>7.6999999999999999E-2</v>
      </c>
      <c r="N240" s="121">
        <f t="shared" si="65"/>
        <v>1.76</v>
      </c>
      <c r="O240" s="122">
        <f t="shared" si="65"/>
        <v>187.65</v>
      </c>
      <c r="P240" s="121">
        <f t="shared" si="65"/>
        <v>230.38</v>
      </c>
      <c r="Q240" s="121">
        <f t="shared" si="65"/>
        <v>7.6999999999999999E-2</v>
      </c>
      <c r="R240" s="121">
        <f t="shared" si="65"/>
        <v>4.0000000000000001E-3</v>
      </c>
      <c r="S240" s="121">
        <f t="shared" si="65"/>
        <v>81.039999999999992</v>
      </c>
      <c r="T240" s="121">
        <f t="shared" si="65"/>
        <v>6.57</v>
      </c>
      <c r="U240" s="23"/>
      <c r="V240" s="45"/>
      <c r="W240" s="45"/>
      <c r="X240" s="45"/>
    </row>
    <row r="241" spans="1:24" s="44" customFormat="1" ht="11.25" customHeight="1" x14ac:dyDescent="0.2">
      <c r="A241" s="206" t="s">
        <v>55</v>
      </c>
      <c r="B241" s="207"/>
      <c r="C241" s="207"/>
      <c r="D241" s="208"/>
      <c r="E241" s="112"/>
      <c r="F241" s="113">
        <f t="shared" ref="F241:T241" si="66">F240/F258</f>
        <v>0.17233333333333334</v>
      </c>
      <c r="G241" s="115">
        <f t="shared" si="66"/>
        <v>0.22097826086956521</v>
      </c>
      <c r="H241" s="115">
        <f t="shared" si="66"/>
        <v>0.23339425587467361</v>
      </c>
      <c r="I241" s="115">
        <f t="shared" si="66"/>
        <v>0.24930514705882353</v>
      </c>
      <c r="J241" s="115">
        <f t="shared" si="66"/>
        <v>0.15714285714285717</v>
      </c>
      <c r="K241" s="115">
        <f t="shared" si="66"/>
        <v>0.14374999999999999</v>
      </c>
      <c r="L241" s="115">
        <f t="shared" si="66"/>
        <v>0.375</v>
      </c>
      <c r="M241" s="115">
        <f t="shared" si="66"/>
        <v>8.5555555555555551E-2</v>
      </c>
      <c r="N241" s="115">
        <f t="shared" si="66"/>
        <v>0.14666666666666667</v>
      </c>
      <c r="O241" s="115">
        <f t="shared" si="66"/>
        <v>0.15637500000000001</v>
      </c>
      <c r="P241" s="115">
        <f t="shared" si="66"/>
        <v>0.19198333333333334</v>
      </c>
      <c r="Q241" s="115">
        <f t="shared" si="66"/>
        <v>5.4999999999999997E-3</v>
      </c>
      <c r="R241" s="115">
        <f t="shared" si="66"/>
        <v>0.04</v>
      </c>
      <c r="S241" s="115">
        <f t="shared" si="66"/>
        <v>0.27013333333333328</v>
      </c>
      <c r="T241" s="115">
        <f t="shared" si="66"/>
        <v>0.36499999999999999</v>
      </c>
      <c r="U241" s="47"/>
      <c r="V241" s="45"/>
      <c r="W241" s="45"/>
      <c r="X241" s="45"/>
    </row>
    <row r="242" spans="1:24" s="44" customFormat="1" ht="11.25" customHeight="1" x14ac:dyDescent="0.2">
      <c r="A242" s="230" t="s">
        <v>24</v>
      </c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2"/>
      <c r="U242" s="11"/>
      <c r="V242" s="21"/>
      <c r="W242" s="21"/>
      <c r="X242" s="21"/>
    </row>
    <row r="243" spans="1:24" s="61" customFormat="1" ht="21.75" customHeight="1" x14ac:dyDescent="0.2">
      <c r="A243" s="102">
        <v>52</v>
      </c>
      <c r="B243" s="193" t="s">
        <v>110</v>
      </c>
      <c r="C243" s="194"/>
      <c r="D243" s="99">
        <v>100</v>
      </c>
      <c r="E243" s="100">
        <v>8.35</v>
      </c>
      <c r="F243" s="100">
        <v>1.4333333333333333</v>
      </c>
      <c r="G243" s="100">
        <v>5.083333333333333</v>
      </c>
      <c r="H243" s="100">
        <v>8.5500000000000007</v>
      </c>
      <c r="I243" s="100">
        <v>85.683333333333337</v>
      </c>
      <c r="J243" s="100">
        <v>1.6666666666666666E-2</v>
      </c>
      <c r="K243" s="100">
        <v>3.3333333333333333E-2</v>
      </c>
      <c r="L243" s="116">
        <v>9.5</v>
      </c>
      <c r="M243" s="100">
        <v>1.6666666666666666E-2</v>
      </c>
      <c r="N243" s="100">
        <v>0.16666666666666666</v>
      </c>
      <c r="O243" s="100">
        <v>44.35</v>
      </c>
      <c r="P243" s="100">
        <v>42.733333333333334</v>
      </c>
      <c r="Q243" s="100">
        <v>0.71666666666666667</v>
      </c>
      <c r="R243" s="103">
        <v>1.6666666666666666E-2</v>
      </c>
      <c r="S243" s="116">
        <v>21.45</v>
      </c>
      <c r="T243" s="100">
        <v>1.4</v>
      </c>
      <c r="U243" s="58"/>
      <c r="V243" s="59"/>
      <c r="W243" s="59"/>
      <c r="X243" s="59"/>
    </row>
    <row r="244" spans="1:24" s="60" customFormat="1" ht="22.5" customHeight="1" x14ac:dyDescent="0.2">
      <c r="A244" s="102">
        <v>108</v>
      </c>
      <c r="B244" s="193" t="s">
        <v>75</v>
      </c>
      <c r="C244" s="194"/>
      <c r="D244" s="101">
        <v>250</v>
      </c>
      <c r="E244" s="100">
        <v>9.9700000000000006</v>
      </c>
      <c r="F244" s="100">
        <v>3.15</v>
      </c>
      <c r="G244" s="103">
        <v>3.55</v>
      </c>
      <c r="H244" s="103">
        <v>20.837499999999999</v>
      </c>
      <c r="I244" s="100">
        <v>127.89999999999999</v>
      </c>
      <c r="J244" s="103">
        <v>8.7499999999999994E-2</v>
      </c>
      <c r="K244" s="103">
        <v>7.4999999999999997E-2</v>
      </c>
      <c r="L244" s="103">
        <v>11.3125</v>
      </c>
      <c r="M244" s="103">
        <v>0.59</v>
      </c>
      <c r="N244" s="103">
        <v>0.875</v>
      </c>
      <c r="O244" s="103">
        <v>25.737500000000001</v>
      </c>
      <c r="P244" s="103">
        <v>60.237499999999997</v>
      </c>
      <c r="Q244" s="103">
        <v>0.25</v>
      </c>
      <c r="R244" s="103">
        <v>1.25E-3</v>
      </c>
      <c r="S244" s="103">
        <v>18.2</v>
      </c>
      <c r="T244" s="103">
        <v>0.92500000000000004</v>
      </c>
      <c r="U244" s="58"/>
      <c r="V244" s="59"/>
      <c r="W244" s="59"/>
      <c r="X244" s="59"/>
    </row>
    <row r="245" spans="1:24" s="60" customFormat="1" ht="12.75" customHeight="1" x14ac:dyDescent="0.2">
      <c r="A245" s="91">
        <v>255</v>
      </c>
      <c r="B245" s="193" t="s">
        <v>98</v>
      </c>
      <c r="C245" s="194"/>
      <c r="D245" s="99">
        <v>100</v>
      </c>
      <c r="E245" s="100">
        <v>45.76</v>
      </c>
      <c r="F245" s="100">
        <v>8.36</v>
      </c>
      <c r="G245" s="100">
        <v>5.35</v>
      </c>
      <c r="H245" s="100">
        <v>10.45</v>
      </c>
      <c r="I245" s="100">
        <v>125.95</v>
      </c>
      <c r="J245" s="100">
        <v>7.0000000000000007E-2</v>
      </c>
      <c r="K245" s="100">
        <v>7.0000000000000007E-2</v>
      </c>
      <c r="L245" s="100">
        <v>0.42</v>
      </c>
      <c r="M245" s="103">
        <v>0</v>
      </c>
      <c r="N245" s="101">
        <v>0</v>
      </c>
      <c r="O245" s="100">
        <v>39.14</v>
      </c>
      <c r="P245" s="116">
        <v>124.85</v>
      </c>
      <c r="Q245" s="116">
        <v>0</v>
      </c>
      <c r="R245" s="103">
        <v>0</v>
      </c>
      <c r="S245" s="100">
        <v>30</v>
      </c>
      <c r="T245" s="100">
        <v>0.74</v>
      </c>
      <c r="U245" s="58"/>
      <c r="V245" s="59"/>
      <c r="W245" s="59"/>
      <c r="X245" s="59"/>
    </row>
    <row r="246" spans="1:24" s="60" customFormat="1" ht="19.5" customHeight="1" x14ac:dyDescent="0.2">
      <c r="A246" s="102">
        <v>312</v>
      </c>
      <c r="B246" s="193" t="s">
        <v>43</v>
      </c>
      <c r="C246" s="194"/>
      <c r="D246" s="99">
        <v>180</v>
      </c>
      <c r="E246" s="100">
        <v>19.71</v>
      </c>
      <c r="F246" s="100">
        <v>3.9480000000000004</v>
      </c>
      <c r="G246" s="100">
        <v>8.4719999999999995</v>
      </c>
      <c r="H246" s="100">
        <v>26.652000000000001</v>
      </c>
      <c r="I246" s="100">
        <v>198.648</v>
      </c>
      <c r="J246" s="100">
        <v>0.192</v>
      </c>
      <c r="K246" s="100">
        <v>0.15600000000000003</v>
      </c>
      <c r="L246" s="100">
        <v>0.876</v>
      </c>
      <c r="M246" s="103">
        <v>9.6000000000000002E-2</v>
      </c>
      <c r="N246" s="101">
        <v>1.8</v>
      </c>
      <c r="O246" s="100">
        <v>51.048000000000002</v>
      </c>
      <c r="P246" s="116">
        <v>117.3</v>
      </c>
      <c r="Q246" s="103">
        <v>0.35880000000000001</v>
      </c>
      <c r="R246" s="103">
        <v>1.1999999999999999E-3</v>
      </c>
      <c r="S246" s="100">
        <v>39.672000000000004</v>
      </c>
      <c r="T246" s="100">
        <v>1.4279999999999999</v>
      </c>
      <c r="U246" s="58"/>
      <c r="V246" s="59"/>
      <c r="W246" s="59"/>
      <c r="X246" s="59"/>
    </row>
    <row r="247" spans="1:24" s="60" customFormat="1" ht="12" customHeight="1" x14ac:dyDescent="0.2">
      <c r="A247" s="102">
        <v>349</v>
      </c>
      <c r="B247" s="193" t="s">
        <v>70</v>
      </c>
      <c r="C247" s="194"/>
      <c r="D247" s="99">
        <v>200</v>
      </c>
      <c r="E247" s="100">
        <v>5.61</v>
      </c>
      <c r="F247" s="100">
        <v>0.22</v>
      </c>
      <c r="G247" s="101">
        <v>0</v>
      </c>
      <c r="H247" s="100">
        <v>24.42</v>
      </c>
      <c r="I247" s="100">
        <v>98.56</v>
      </c>
      <c r="J247" s="101">
        <v>0</v>
      </c>
      <c r="K247" s="101">
        <v>0</v>
      </c>
      <c r="L247" s="100">
        <v>26.11</v>
      </c>
      <c r="M247" s="101">
        <v>0</v>
      </c>
      <c r="N247" s="101">
        <v>0</v>
      </c>
      <c r="O247" s="116">
        <v>22.6</v>
      </c>
      <c r="P247" s="116">
        <v>7.7</v>
      </c>
      <c r="Q247" s="99">
        <v>0</v>
      </c>
      <c r="R247" s="99">
        <v>0</v>
      </c>
      <c r="S247" s="116">
        <v>3</v>
      </c>
      <c r="T247" s="100">
        <v>0.66</v>
      </c>
      <c r="U247" s="58"/>
      <c r="V247" s="59"/>
      <c r="W247" s="59"/>
      <c r="X247" s="59"/>
    </row>
    <row r="248" spans="1:24" s="60" customFormat="1" ht="11.25" customHeight="1" x14ac:dyDescent="0.2">
      <c r="A248" s="120" t="s">
        <v>58</v>
      </c>
      <c r="B248" s="193" t="s">
        <v>42</v>
      </c>
      <c r="C248" s="194"/>
      <c r="D248" s="99">
        <v>40</v>
      </c>
      <c r="E248" s="100">
        <v>2.08</v>
      </c>
      <c r="F248" s="100">
        <f>2.64*D248/40</f>
        <v>2.64</v>
      </c>
      <c r="G248" s="100">
        <f>0.48*D248/40</f>
        <v>0.48</v>
      </c>
      <c r="H248" s="100">
        <f>13.68*D248/40</f>
        <v>13.680000000000001</v>
      </c>
      <c r="I248" s="116">
        <f>F248*4+G248*9+H248*4</f>
        <v>69.600000000000009</v>
      </c>
      <c r="J248" s="101">
        <f>0.08*D248/40</f>
        <v>0.08</v>
      </c>
      <c r="K248" s="100">
        <f>0.04*D248/40</f>
        <v>0.04</v>
      </c>
      <c r="L248" s="99">
        <v>0</v>
      </c>
      <c r="M248" s="99">
        <v>0</v>
      </c>
      <c r="N248" s="100">
        <f>2.4*D248/40</f>
        <v>2.4</v>
      </c>
      <c r="O248" s="100">
        <f>14*D248/40</f>
        <v>14</v>
      </c>
      <c r="P248" s="100">
        <f>63.2*D248/40</f>
        <v>63.2</v>
      </c>
      <c r="Q248" s="100">
        <f>1.2*D248/40</f>
        <v>1.2</v>
      </c>
      <c r="R248" s="103">
        <f>0.001*D248/40</f>
        <v>1E-3</v>
      </c>
      <c r="S248" s="100">
        <f>9.4*D248/40</f>
        <v>9.4</v>
      </c>
      <c r="T248" s="101">
        <f>0.78*D248/40</f>
        <v>0.78</v>
      </c>
      <c r="U248" s="66"/>
      <c r="V248" s="67"/>
      <c r="W248" s="67"/>
      <c r="X248" s="67"/>
    </row>
    <row r="249" spans="1:24" s="60" customFormat="1" ht="11.25" customHeight="1" x14ac:dyDescent="0.2">
      <c r="A249" s="102" t="s">
        <v>58</v>
      </c>
      <c r="B249" s="193" t="s">
        <v>47</v>
      </c>
      <c r="C249" s="194"/>
      <c r="D249" s="99">
        <v>30</v>
      </c>
      <c r="E249" s="100">
        <v>2.52</v>
      </c>
      <c r="F249" s="100">
        <f>1.52*D249/30</f>
        <v>1.52</v>
      </c>
      <c r="G249" s="103">
        <f>0.16*D249/30</f>
        <v>0.16</v>
      </c>
      <c r="H249" s="103">
        <f>9.84*D249/30</f>
        <v>9.84</v>
      </c>
      <c r="I249" s="103">
        <f>F249*4+G249*9+H249*4</f>
        <v>46.879999999999995</v>
      </c>
      <c r="J249" s="103">
        <f>0.02*D249/30</f>
        <v>0.02</v>
      </c>
      <c r="K249" s="103">
        <f>0.01*D249/30</f>
        <v>0.01</v>
      </c>
      <c r="L249" s="103">
        <f>0.44*D249/30</f>
        <v>0.44</v>
      </c>
      <c r="M249" s="103">
        <v>0</v>
      </c>
      <c r="N249" s="103">
        <f>0.7*D249/30</f>
        <v>0.7</v>
      </c>
      <c r="O249" s="103">
        <f>4*D249/30</f>
        <v>4</v>
      </c>
      <c r="P249" s="103">
        <f>13*D249/30</f>
        <v>13</v>
      </c>
      <c r="Q249" s="103">
        <f>0.008*D249/30</f>
        <v>8.0000000000000002E-3</v>
      </c>
      <c r="R249" s="103">
        <f>0.001*D249/30</f>
        <v>1E-3</v>
      </c>
      <c r="S249" s="103">
        <v>0</v>
      </c>
      <c r="T249" s="103">
        <f>0.22*D249/30</f>
        <v>0.22</v>
      </c>
      <c r="U249" s="58"/>
      <c r="V249" s="59"/>
      <c r="W249" s="59"/>
      <c r="X249" s="59"/>
    </row>
    <row r="250" spans="1:24" s="44" customFormat="1" ht="11.25" customHeight="1" x14ac:dyDescent="0.2">
      <c r="A250" s="108" t="s">
        <v>25</v>
      </c>
      <c r="B250" s="109"/>
      <c r="C250" s="109"/>
      <c r="D250" s="110">
        <f t="shared" ref="D250:T250" si="67">SUM(D243:D249)</f>
        <v>900</v>
      </c>
      <c r="E250" s="111">
        <f t="shared" si="67"/>
        <v>93.999999999999986</v>
      </c>
      <c r="F250" s="111">
        <f t="shared" si="67"/>
        <v>21.271333333333331</v>
      </c>
      <c r="G250" s="111">
        <f t="shared" si="67"/>
        <v>23.095333333333333</v>
      </c>
      <c r="H250" s="111">
        <f t="shared" si="67"/>
        <v>114.4295</v>
      </c>
      <c r="I250" s="111">
        <f t="shared" si="67"/>
        <v>753.2213333333334</v>
      </c>
      <c r="J250" s="111">
        <f t="shared" si="67"/>
        <v>0.46616666666666667</v>
      </c>
      <c r="K250" s="111">
        <f t="shared" si="67"/>
        <v>0.38433333333333336</v>
      </c>
      <c r="L250" s="111">
        <f t="shared" si="67"/>
        <v>48.658500000000004</v>
      </c>
      <c r="M250" s="111">
        <f t="shared" si="67"/>
        <v>0.70266666666666666</v>
      </c>
      <c r="N250" s="111">
        <f t="shared" si="67"/>
        <v>5.9416666666666673</v>
      </c>
      <c r="O250" s="111">
        <f t="shared" si="67"/>
        <v>200.87550000000002</v>
      </c>
      <c r="P250" s="111">
        <f t="shared" si="67"/>
        <v>429.02083333333331</v>
      </c>
      <c r="Q250" s="111">
        <f t="shared" si="67"/>
        <v>2.5334666666666665</v>
      </c>
      <c r="R250" s="111">
        <f t="shared" si="67"/>
        <v>2.1116666666666669E-2</v>
      </c>
      <c r="S250" s="111">
        <f t="shared" si="67"/>
        <v>121.72200000000001</v>
      </c>
      <c r="T250" s="111">
        <f t="shared" si="67"/>
        <v>6.1530000000000005</v>
      </c>
      <c r="U250" s="23"/>
      <c r="V250" s="45"/>
      <c r="W250" s="45"/>
      <c r="X250" s="45"/>
    </row>
    <row r="251" spans="1:24" s="44" customFormat="1" ht="11.25" customHeight="1" x14ac:dyDescent="0.2">
      <c r="A251" s="206" t="s">
        <v>55</v>
      </c>
      <c r="B251" s="207"/>
      <c r="C251" s="207"/>
      <c r="D251" s="208"/>
      <c r="E251" s="112"/>
      <c r="F251" s="113">
        <f t="shared" ref="F251:T251" si="68">F250/F258</f>
        <v>0.23634814814814811</v>
      </c>
      <c r="G251" s="115">
        <f t="shared" si="68"/>
        <v>0.25103623188405794</v>
      </c>
      <c r="H251" s="115">
        <f t="shared" si="68"/>
        <v>0.2987715404699739</v>
      </c>
      <c r="I251" s="115">
        <f t="shared" si="68"/>
        <v>0.27691960784313729</v>
      </c>
      <c r="J251" s="115">
        <f t="shared" si="68"/>
        <v>0.33297619047619048</v>
      </c>
      <c r="K251" s="115">
        <f t="shared" si="68"/>
        <v>0.24020833333333333</v>
      </c>
      <c r="L251" s="115">
        <f t="shared" si="68"/>
        <v>0.69512142857142867</v>
      </c>
      <c r="M251" s="115">
        <f t="shared" si="68"/>
        <v>0.78074074074074074</v>
      </c>
      <c r="N251" s="115">
        <f t="shared" si="68"/>
        <v>0.49513888888888896</v>
      </c>
      <c r="O251" s="115">
        <f t="shared" si="68"/>
        <v>0.16739625000000002</v>
      </c>
      <c r="P251" s="115">
        <f t="shared" si="68"/>
        <v>0.3575173611111111</v>
      </c>
      <c r="Q251" s="115">
        <f t="shared" si="68"/>
        <v>0.18096190476190474</v>
      </c>
      <c r="R251" s="115">
        <f t="shared" si="68"/>
        <v>0.21116666666666667</v>
      </c>
      <c r="S251" s="115">
        <f t="shared" si="68"/>
        <v>0.40574000000000005</v>
      </c>
      <c r="T251" s="115">
        <f t="shared" si="68"/>
        <v>0.34183333333333338</v>
      </c>
      <c r="U251" s="47"/>
      <c r="V251" s="45"/>
      <c r="W251" s="45"/>
      <c r="X251" s="45"/>
    </row>
    <row r="252" spans="1:24" s="44" customFormat="1" ht="11.25" customHeight="1" x14ac:dyDescent="0.2">
      <c r="A252" s="222" t="s">
        <v>26</v>
      </c>
      <c r="B252" s="223"/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223"/>
      <c r="P252" s="223"/>
      <c r="Q252" s="223"/>
      <c r="R252" s="223"/>
      <c r="S252" s="223"/>
      <c r="T252" s="224"/>
      <c r="U252" s="6"/>
      <c r="V252" s="19"/>
      <c r="W252" s="19"/>
      <c r="X252" s="19"/>
    </row>
    <row r="253" spans="1:24" s="42" customFormat="1" ht="11.25" customHeight="1" x14ac:dyDescent="0.2">
      <c r="A253" s="125"/>
      <c r="B253" s="205"/>
      <c r="C253" s="205"/>
      <c r="D253" s="126"/>
      <c r="E253" s="127"/>
      <c r="F253" s="127"/>
      <c r="G253" s="130"/>
      <c r="H253" s="130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</row>
    <row r="254" spans="1:24" s="44" customFormat="1" ht="12.75" customHeight="1" x14ac:dyDescent="0.2">
      <c r="A254" s="91"/>
      <c r="B254" s="210"/>
      <c r="C254" s="210"/>
      <c r="D254" s="99"/>
      <c r="E254" s="100"/>
      <c r="F254" s="100"/>
      <c r="G254" s="100"/>
      <c r="H254" s="100"/>
      <c r="I254" s="100"/>
      <c r="J254" s="100"/>
      <c r="K254" s="100"/>
      <c r="L254" s="100"/>
      <c r="M254" s="101"/>
      <c r="N254" s="100"/>
      <c r="O254" s="100"/>
      <c r="P254" s="100"/>
      <c r="Q254" s="100"/>
      <c r="R254" s="103"/>
      <c r="S254" s="100"/>
      <c r="T254" s="100"/>
      <c r="U254" s="48"/>
      <c r="V254" s="49"/>
      <c r="W254" s="49"/>
      <c r="X254" s="49"/>
    </row>
    <row r="255" spans="1:24" s="1" customFormat="1" ht="11.25" customHeight="1" x14ac:dyDescent="0.2">
      <c r="A255" s="108" t="s">
        <v>27</v>
      </c>
      <c r="B255" s="109"/>
      <c r="C255" s="109"/>
      <c r="D255" s="110">
        <f t="shared" ref="D255:I255" si="69">SUM(D253:D254)</f>
        <v>0</v>
      </c>
      <c r="E255" s="111">
        <f t="shared" si="69"/>
        <v>0</v>
      </c>
      <c r="F255" s="121">
        <f t="shared" si="69"/>
        <v>0</v>
      </c>
      <c r="G255" s="122">
        <f t="shared" si="69"/>
        <v>0</v>
      </c>
      <c r="H255" s="122">
        <f t="shared" si="69"/>
        <v>0</v>
      </c>
      <c r="I255" s="122">
        <f t="shared" si="69"/>
        <v>0</v>
      </c>
      <c r="J255" s="121">
        <f t="shared" ref="J255:T255" si="70">SUM(J253:J254)</f>
        <v>0</v>
      </c>
      <c r="K255" s="121">
        <f t="shared" si="70"/>
        <v>0</v>
      </c>
      <c r="L255" s="123">
        <f t="shared" si="70"/>
        <v>0</v>
      </c>
      <c r="M255" s="122">
        <f t="shared" si="70"/>
        <v>0</v>
      </c>
      <c r="N255" s="122">
        <f t="shared" si="70"/>
        <v>0</v>
      </c>
      <c r="O255" s="122">
        <f t="shared" si="70"/>
        <v>0</v>
      </c>
      <c r="P255" s="122">
        <f t="shared" si="70"/>
        <v>0</v>
      </c>
      <c r="Q255" s="122">
        <f t="shared" si="70"/>
        <v>0</v>
      </c>
      <c r="R255" s="121">
        <f t="shared" si="70"/>
        <v>0</v>
      </c>
      <c r="S255" s="122">
        <f t="shared" si="70"/>
        <v>0</v>
      </c>
      <c r="T255" s="121">
        <f t="shared" si="70"/>
        <v>0</v>
      </c>
      <c r="U255" s="23"/>
      <c r="V255" s="45"/>
      <c r="W255" s="45"/>
      <c r="X255" s="45"/>
    </row>
    <row r="256" spans="1:24" s="1" customFormat="1" ht="11.25" customHeight="1" x14ac:dyDescent="0.2">
      <c r="A256" s="206" t="s">
        <v>55</v>
      </c>
      <c r="B256" s="207"/>
      <c r="C256" s="207"/>
      <c r="D256" s="208"/>
      <c r="E256" s="132"/>
      <c r="F256" s="114">
        <f>F255/F258</f>
        <v>0</v>
      </c>
      <c r="G256" s="115">
        <f t="shared" ref="G256:T256" si="71">G255/G258</f>
        <v>0</v>
      </c>
      <c r="H256" s="115">
        <f t="shared" si="71"/>
        <v>0</v>
      </c>
      <c r="I256" s="115">
        <f t="shared" si="71"/>
        <v>0</v>
      </c>
      <c r="J256" s="115">
        <f t="shared" si="71"/>
        <v>0</v>
      </c>
      <c r="K256" s="115">
        <f t="shared" si="71"/>
        <v>0</v>
      </c>
      <c r="L256" s="115">
        <f t="shared" si="71"/>
        <v>0</v>
      </c>
      <c r="M256" s="115">
        <f t="shared" si="71"/>
        <v>0</v>
      </c>
      <c r="N256" s="115">
        <f t="shared" si="71"/>
        <v>0</v>
      </c>
      <c r="O256" s="115">
        <f t="shared" si="71"/>
        <v>0</v>
      </c>
      <c r="P256" s="115">
        <f t="shared" si="71"/>
        <v>0</v>
      </c>
      <c r="Q256" s="115">
        <f t="shared" si="71"/>
        <v>0</v>
      </c>
      <c r="R256" s="115">
        <f t="shared" si="71"/>
        <v>0</v>
      </c>
      <c r="S256" s="115">
        <f t="shared" si="71"/>
        <v>0</v>
      </c>
      <c r="T256" s="115">
        <f t="shared" si="71"/>
        <v>0</v>
      </c>
      <c r="U256" s="47"/>
      <c r="V256" s="45"/>
      <c r="W256" s="45"/>
      <c r="X256" s="45"/>
    </row>
    <row r="257" spans="1:24" s="1" customFormat="1" ht="11.25" customHeight="1" x14ac:dyDescent="0.2">
      <c r="A257" s="108" t="s">
        <v>54</v>
      </c>
      <c r="B257" s="109"/>
      <c r="C257" s="109"/>
      <c r="D257" s="133">
        <f>D250+D240</f>
        <v>1465</v>
      </c>
      <c r="E257" s="134">
        <f>E250+E240</f>
        <v>167</v>
      </c>
      <c r="F257" s="121">
        <f t="shared" ref="F257:T257" si="72">SUM(F240,F250,F255)</f>
        <v>36.781333333333329</v>
      </c>
      <c r="G257" s="122">
        <f t="shared" si="72"/>
        <v>43.425333333333327</v>
      </c>
      <c r="H257" s="122">
        <f t="shared" si="72"/>
        <v>203.81950000000001</v>
      </c>
      <c r="I257" s="122">
        <f t="shared" si="72"/>
        <v>1431.3313333333335</v>
      </c>
      <c r="J257" s="121">
        <f t="shared" si="72"/>
        <v>0.6861666666666667</v>
      </c>
      <c r="K257" s="121">
        <f t="shared" si="72"/>
        <v>0.6143333333333334</v>
      </c>
      <c r="L257" s="122">
        <f t="shared" si="72"/>
        <v>74.908500000000004</v>
      </c>
      <c r="M257" s="121">
        <f t="shared" si="72"/>
        <v>0.77966666666666662</v>
      </c>
      <c r="N257" s="121">
        <f t="shared" si="72"/>
        <v>7.7016666666666671</v>
      </c>
      <c r="O257" s="122">
        <f t="shared" si="72"/>
        <v>388.52550000000002</v>
      </c>
      <c r="P257" s="122">
        <f t="shared" si="72"/>
        <v>659.40083333333337</v>
      </c>
      <c r="Q257" s="121">
        <f t="shared" si="72"/>
        <v>2.6104666666666665</v>
      </c>
      <c r="R257" s="124">
        <f t="shared" si="72"/>
        <v>2.5116666666666669E-2</v>
      </c>
      <c r="S257" s="121">
        <f t="shared" si="72"/>
        <v>202.762</v>
      </c>
      <c r="T257" s="121">
        <f t="shared" si="72"/>
        <v>12.723000000000001</v>
      </c>
      <c r="U257" s="25"/>
      <c r="V257" s="45"/>
      <c r="W257" s="45"/>
      <c r="X257" s="45"/>
    </row>
    <row r="258" spans="1:24" s="1" customFormat="1" ht="11.25" customHeight="1" x14ac:dyDescent="0.2">
      <c r="A258" s="186" t="s">
        <v>56</v>
      </c>
      <c r="B258" s="187"/>
      <c r="C258" s="187"/>
      <c r="D258" s="188"/>
      <c r="E258" s="135"/>
      <c r="F258" s="100">
        <v>90</v>
      </c>
      <c r="G258" s="116">
        <v>92</v>
      </c>
      <c r="H258" s="116">
        <v>383</v>
      </c>
      <c r="I258" s="116">
        <v>2720</v>
      </c>
      <c r="J258" s="100">
        <v>1.4</v>
      </c>
      <c r="K258" s="100">
        <v>1.6</v>
      </c>
      <c r="L258" s="99">
        <v>70</v>
      </c>
      <c r="M258" s="100">
        <v>0.9</v>
      </c>
      <c r="N258" s="99">
        <v>12</v>
      </c>
      <c r="O258" s="99">
        <v>1200</v>
      </c>
      <c r="P258" s="99">
        <v>1200</v>
      </c>
      <c r="Q258" s="99">
        <v>14</v>
      </c>
      <c r="R258" s="116">
        <v>0.1</v>
      </c>
      <c r="S258" s="99">
        <v>300</v>
      </c>
      <c r="T258" s="100">
        <v>18</v>
      </c>
      <c r="U258" s="48"/>
      <c r="V258" s="49"/>
      <c r="W258" s="49"/>
      <c r="X258" s="49"/>
    </row>
    <row r="259" spans="1:24" s="1" customFormat="1" ht="11.25" customHeight="1" x14ac:dyDescent="0.2">
      <c r="A259" s="206" t="s">
        <v>55</v>
      </c>
      <c r="B259" s="207"/>
      <c r="C259" s="207"/>
      <c r="D259" s="208"/>
      <c r="E259" s="132"/>
      <c r="F259" s="114">
        <f t="shared" ref="F259:T259" si="73">F257/F258</f>
        <v>0.40868148148148142</v>
      </c>
      <c r="G259" s="115">
        <f t="shared" si="73"/>
        <v>0.47201449275362312</v>
      </c>
      <c r="H259" s="115">
        <f t="shared" si="73"/>
        <v>0.53216579634464756</v>
      </c>
      <c r="I259" s="115">
        <f t="shared" si="73"/>
        <v>0.52622475490196086</v>
      </c>
      <c r="J259" s="115">
        <f t="shared" si="73"/>
        <v>0.49011904761904768</v>
      </c>
      <c r="K259" s="115">
        <f t="shared" si="73"/>
        <v>0.38395833333333335</v>
      </c>
      <c r="L259" s="115">
        <f t="shared" si="73"/>
        <v>1.0701214285714287</v>
      </c>
      <c r="M259" s="136">
        <f t="shared" si="73"/>
        <v>0.86629629629629623</v>
      </c>
      <c r="N259" s="115">
        <f t="shared" si="73"/>
        <v>0.64180555555555563</v>
      </c>
      <c r="O259" s="115">
        <f t="shared" si="73"/>
        <v>0.32377125000000001</v>
      </c>
      <c r="P259" s="115">
        <f t="shared" si="73"/>
        <v>0.54950069444444449</v>
      </c>
      <c r="Q259" s="115">
        <f t="shared" si="73"/>
        <v>0.18646190476190475</v>
      </c>
      <c r="R259" s="136">
        <f t="shared" si="73"/>
        <v>0.25116666666666665</v>
      </c>
      <c r="S259" s="115">
        <f t="shared" si="73"/>
        <v>0.67587333333333333</v>
      </c>
      <c r="T259" s="136">
        <f t="shared" si="73"/>
        <v>0.70683333333333342</v>
      </c>
      <c r="U259" s="26"/>
      <c r="V259" s="27"/>
      <c r="W259" s="27"/>
      <c r="X259" s="27"/>
    </row>
    <row r="260" spans="1:24" s="1" customFormat="1" ht="11.25" customHeight="1" x14ac:dyDescent="0.2">
      <c r="A260" s="85" t="s">
        <v>67</v>
      </c>
      <c r="B260" s="85"/>
      <c r="C260" s="137"/>
      <c r="D260" s="137"/>
      <c r="E260" s="137"/>
      <c r="F260" s="80"/>
      <c r="G260" s="81"/>
      <c r="H260" s="79"/>
      <c r="I260" s="79"/>
      <c r="J260" s="81"/>
      <c r="K260" s="81"/>
      <c r="L260" s="81"/>
      <c r="M260" s="213" t="s">
        <v>57</v>
      </c>
      <c r="N260" s="213"/>
      <c r="O260" s="213"/>
      <c r="P260" s="213"/>
      <c r="Q260" s="213"/>
      <c r="R260" s="213"/>
      <c r="S260" s="213"/>
      <c r="T260" s="213"/>
      <c r="U260" s="7"/>
      <c r="V260" s="14"/>
      <c r="W260" s="14"/>
      <c r="X260" s="14"/>
    </row>
    <row r="261" spans="1:24" s="1" customFormat="1" ht="11.25" customHeight="1" x14ac:dyDescent="0.2">
      <c r="A261" s="85"/>
      <c r="B261" s="85"/>
      <c r="C261" s="137"/>
      <c r="D261" s="137"/>
      <c r="E261" s="137"/>
      <c r="F261" s="80"/>
      <c r="G261" s="81"/>
      <c r="H261" s="79"/>
      <c r="I261" s="79"/>
      <c r="J261" s="81"/>
      <c r="K261" s="81"/>
      <c r="L261" s="81"/>
      <c r="M261" s="83"/>
      <c r="N261" s="83"/>
      <c r="O261" s="83"/>
      <c r="P261" s="83"/>
      <c r="Q261" s="83"/>
      <c r="R261" s="83"/>
      <c r="S261" s="83"/>
      <c r="T261" s="83"/>
      <c r="U261" s="7"/>
      <c r="V261" s="14"/>
      <c r="W261" s="14"/>
      <c r="X261" s="14"/>
    </row>
    <row r="262" spans="1:24" s="1" customFormat="1" ht="11.25" customHeight="1" x14ac:dyDescent="0.2">
      <c r="A262" s="209" t="s">
        <v>39</v>
      </c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8"/>
      <c r="V262" s="20"/>
      <c r="W262" s="20"/>
      <c r="X262" s="20"/>
    </row>
    <row r="263" spans="1:24" s="1" customFormat="1" ht="11.25" customHeight="1" x14ac:dyDescent="0.2">
      <c r="A263" s="84" t="s">
        <v>48</v>
      </c>
      <c r="B263" s="85"/>
      <c r="C263" s="85"/>
      <c r="D263" s="79"/>
      <c r="E263" s="79"/>
      <c r="F263" s="82"/>
      <c r="G263" s="181" t="s">
        <v>33</v>
      </c>
      <c r="H263" s="181"/>
      <c r="I263" s="181"/>
      <c r="J263" s="81"/>
      <c r="K263" s="81"/>
      <c r="L263" s="199" t="s">
        <v>1</v>
      </c>
      <c r="M263" s="199"/>
      <c r="N263" s="211" t="str">
        <f>N230</f>
        <v>осенне-зимний</v>
      </c>
      <c r="O263" s="211"/>
      <c r="P263" s="211"/>
      <c r="Q263" s="211"/>
      <c r="R263" s="81"/>
      <c r="S263" s="81"/>
      <c r="T263" s="81"/>
      <c r="U263" s="9"/>
      <c r="V263" s="15"/>
      <c r="W263" s="15"/>
      <c r="X263" s="15"/>
    </row>
    <row r="264" spans="1:24" s="1" customFormat="1" ht="11.25" customHeight="1" x14ac:dyDescent="0.2">
      <c r="A264" s="85"/>
      <c r="B264" s="85"/>
      <c r="C264" s="85"/>
      <c r="D264" s="198" t="s">
        <v>2</v>
      </c>
      <c r="E264" s="198"/>
      <c r="F264" s="198"/>
      <c r="G264" s="86">
        <v>2</v>
      </c>
      <c r="H264" s="81"/>
      <c r="I264" s="79"/>
      <c r="J264" s="79"/>
      <c r="K264" s="79"/>
      <c r="L264" s="198" t="s">
        <v>3</v>
      </c>
      <c r="M264" s="198"/>
      <c r="N264" s="181" t="str">
        <f>N231</f>
        <v>с 7-11 лет;12 и старше</v>
      </c>
      <c r="O264" s="181"/>
      <c r="P264" s="181"/>
      <c r="Q264" s="181"/>
      <c r="R264" s="181"/>
      <c r="S264" s="181"/>
      <c r="T264" s="181"/>
      <c r="U264" s="10"/>
      <c r="V264" s="16"/>
      <c r="W264" s="16"/>
      <c r="X264" s="16"/>
    </row>
    <row r="265" spans="1:24" s="44" customFormat="1" ht="21.75" customHeight="1" x14ac:dyDescent="0.2">
      <c r="A265" s="201" t="s">
        <v>4</v>
      </c>
      <c r="B265" s="182" t="s">
        <v>5</v>
      </c>
      <c r="C265" s="183"/>
      <c r="D265" s="201" t="s">
        <v>6</v>
      </c>
      <c r="E265" s="87"/>
      <c r="F265" s="189" t="s">
        <v>7</v>
      </c>
      <c r="G265" s="190"/>
      <c r="H265" s="191"/>
      <c r="I265" s="201" t="s">
        <v>8</v>
      </c>
      <c r="J265" s="189" t="s">
        <v>9</v>
      </c>
      <c r="K265" s="190"/>
      <c r="L265" s="190"/>
      <c r="M265" s="190"/>
      <c r="N265" s="191"/>
      <c r="O265" s="189" t="s">
        <v>10</v>
      </c>
      <c r="P265" s="190"/>
      <c r="Q265" s="190"/>
      <c r="R265" s="190"/>
      <c r="S265" s="190"/>
      <c r="T265" s="191"/>
      <c r="U265" s="4"/>
      <c r="V265" s="15"/>
      <c r="W265" s="15"/>
      <c r="X265" s="15"/>
    </row>
    <row r="266" spans="1:24" s="44" customFormat="1" ht="21" customHeight="1" x14ac:dyDescent="0.2">
      <c r="A266" s="202"/>
      <c r="B266" s="184"/>
      <c r="C266" s="185"/>
      <c r="D266" s="202"/>
      <c r="E266" s="88"/>
      <c r="F266" s="89" t="s">
        <v>11</v>
      </c>
      <c r="G266" s="90" t="s">
        <v>12</v>
      </c>
      <c r="H266" s="90" t="s">
        <v>13</v>
      </c>
      <c r="I266" s="202"/>
      <c r="J266" s="90" t="s">
        <v>14</v>
      </c>
      <c r="K266" s="90" t="s">
        <v>50</v>
      </c>
      <c r="L266" s="90" t="s">
        <v>15</v>
      </c>
      <c r="M266" s="90" t="s">
        <v>16</v>
      </c>
      <c r="N266" s="90" t="s">
        <v>17</v>
      </c>
      <c r="O266" s="90" t="s">
        <v>18</v>
      </c>
      <c r="P266" s="90" t="s">
        <v>19</v>
      </c>
      <c r="Q266" s="90" t="s">
        <v>51</v>
      </c>
      <c r="R266" s="90" t="s">
        <v>52</v>
      </c>
      <c r="S266" s="90" t="s">
        <v>20</v>
      </c>
      <c r="T266" s="90" t="s">
        <v>21</v>
      </c>
      <c r="U266" s="4"/>
      <c r="V266" s="15"/>
      <c r="W266" s="15"/>
      <c r="X266" s="15"/>
    </row>
    <row r="267" spans="1:24" s="44" customFormat="1" ht="11.25" customHeight="1" x14ac:dyDescent="0.2">
      <c r="A267" s="91">
        <v>1</v>
      </c>
      <c r="B267" s="195">
        <v>2</v>
      </c>
      <c r="C267" s="196"/>
      <c r="D267" s="92">
        <v>3</v>
      </c>
      <c r="E267" s="92"/>
      <c r="F267" s="93">
        <v>4</v>
      </c>
      <c r="G267" s="92">
        <v>5</v>
      </c>
      <c r="H267" s="92">
        <v>6</v>
      </c>
      <c r="I267" s="92">
        <v>7</v>
      </c>
      <c r="J267" s="92">
        <v>8</v>
      </c>
      <c r="K267" s="92">
        <v>9</v>
      </c>
      <c r="L267" s="92">
        <v>10</v>
      </c>
      <c r="M267" s="92">
        <v>11</v>
      </c>
      <c r="N267" s="92">
        <v>12</v>
      </c>
      <c r="O267" s="92">
        <v>13</v>
      </c>
      <c r="P267" s="92">
        <v>14</v>
      </c>
      <c r="Q267" s="92">
        <v>15</v>
      </c>
      <c r="R267" s="92">
        <v>16</v>
      </c>
      <c r="S267" s="92">
        <v>17</v>
      </c>
      <c r="T267" s="92">
        <v>18</v>
      </c>
      <c r="U267" s="5"/>
      <c r="V267" s="15"/>
      <c r="W267" s="15"/>
      <c r="X267" s="15"/>
    </row>
    <row r="268" spans="1:24" s="44" customFormat="1" ht="11.25" customHeight="1" x14ac:dyDescent="0.2">
      <c r="A268" s="222" t="s">
        <v>81</v>
      </c>
      <c r="B268" s="223"/>
      <c r="C268" s="223"/>
      <c r="D268" s="223"/>
      <c r="E268" s="223"/>
      <c r="F268" s="223"/>
      <c r="G268" s="223"/>
      <c r="H268" s="223"/>
      <c r="I268" s="223"/>
      <c r="J268" s="223"/>
      <c r="K268" s="223"/>
      <c r="L268" s="223"/>
      <c r="M268" s="223"/>
      <c r="N268" s="223"/>
      <c r="O268" s="223"/>
      <c r="P268" s="223"/>
      <c r="Q268" s="223"/>
      <c r="R268" s="223"/>
      <c r="S268" s="223"/>
      <c r="T268" s="224"/>
      <c r="U268" s="6"/>
      <c r="V268" s="15"/>
      <c r="W268" s="15"/>
      <c r="X268" s="15"/>
    </row>
    <row r="269" spans="1:24" s="60" customFormat="1" ht="25.5" customHeight="1" x14ac:dyDescent="0.2">
      <c r="A269" s="91" t="s">
        <v>58</v>
      </c>
      <c r="B269" s="193" t="s">
        <v>99</v>
      </c>
      <c r="C269" s="194"/>
      <c r="D269" s="99">
        <v>165</v>
      </c>
      <c r="E269" s="100">
        <v>41.3</v>
      </c>
      <c r="F269" s="100">
        <v>3.6</v>
      </c>
      <c r="G269" s="100">
        <v>6</v>
      </c>
      <c r="H269" s="100">
        <v>54</v>
      </c>
      <c r="I269" s="100">
        <v>288</v>
      </c>
      <c r="J269" s="103">
        <v>7.0000000000000007E-2</v>
      </c>
      <c r="K269" s="103">
        <v>0.16</v>
      </c>
      <c r="L269" s="100">
        <v>0.19</v>
      </c>
      <c r="M269" s="100">
        <v>0.02</v>
      </c>
      <c r="N269" s="101">
        <v>1.1639999999999999</v>
      </c>
      <c r="O269" s="100">
        <v>0.19</v>
      </c>
      <c r="P269" s="100">
        <v>149.1</v>
      </c>
      <c r="Q269" s="100">
        <v>0.81</v>
      </c>
      <c r="R269" s="100">
        <v>0.02</v>
      </c>
      <c r="S269" s="100">
        <v>12.93</v>
      </c>
      <c r="T269" s="100">
        <v>0.91</v>
      </c>
      <c r="U269" s="58"/>
      <c r="V269" s="59"/>
      <c r="W269" s="59"/>
      <c r="X269" s="59"/>
    </row>
    <row r="270" spans="1:24" s="60" customFormat="1" ht="12.75" customHeight="1" x14ac:dyDescent="0.2">
      <c r="A270" s="138">
        <v>3</v>
      </c>
      <c r="B270" s="205" t="s">
        <v>92</v>
      </c>
      <c r="C270" s="205"/>
      <c r="D270" s="126">
        <v>38</v>
      </c>
      <c r="E270" s="127">
        <v>10.42</v>
      </c>
      <c r="F270" s="127">
        <v>6.45</v>
      </c>
      <c r="G270" s="150">
        <v>7.27</v>
      </c>
      <c r="H270" s="127">
        <v>17.77</v>
      </c>
      <c r="I270" s="127">
        <v>162.25</v>
      </c>
      <c r="J270" s="127">
        <v>0.04</v>
      </c>
      <c r="K270" s="127">
        <v>0.02</v>
      </c>
      <c r="L270" s="126">
        <v>10</v>
      </c>
      <c r="M270" s="126">
        <v>0.02</v>
      </c>
      <c r="N270" s="127">
        <v>0.2</v>
      </c>
      <c r="O270" s="127">
        <v>16</v>
      </c>
      <c r="P270" s="127">
        <v>11</v>
      </c>
      <c r="Q270" s="126">
        <v>0.03</v>
      </c>
      <c r="R270" s="126">
        <v>2E-3</v>
      </c>
      <c r="S270" s="127">
        <v>9</v>
      </c>
      <c r="T270" s="127">
        <v>2.2000000000000002</v>
      </c>
      <c r="U270" s="71"/>
      <c r="V270" s="71"/>
      <c r="W270" s="71"/>
      <c r="X270" s="71"/>
    </row>
    <row r="271" spans="1:24" s="60" customFormat="1" ht="12.75" customHeight="1" x14ac:dyDescent="0.2">
      <c r="A271" s="91">
        <v>377</v>
      </c>
      <c r="B271" s="210" t="s">
        <v>41</v>
      </c>
      <c r="C271" s="210"/>
      <c r="D271" s="99">
        <v>200</v>
      </c>
      <c r="E271" s="100">
        <v>3.81</v>
      </c>
      <c r="F271" s="100">
        <v>0.26</v>
      </c>
      <c r="G271" s="100">
        <v>0.06</v>
      </c>
      <c r="H271" s="100">
        <v>15.22</v>
      </c>
      <c r="I271" s="100">
        <f>F271*4+G271*9+H271*4</f>
        <v>62.46</v>
      </c>
      <c r="J271" s="100"/>
      <c r="K271" s="100">
        <v>0.01</v>
      </c>
      <c r="L271" s="100">
        <v>2.9</v>
      </c>
      <c r="M271" s="101">
        <v>0</v>
      </c>
      <c r="N271" s="100">
        <v>0.06</v>
      </c>
      <c r="O271" s="100">
        <v>8.0500000000000007</v>
      </c>
      <c r="P271" s="100">
        <v>9.7799999999999994</v>
      </c>
      <c r="Q271" s="100">
        <v>1.7000000000000001E-2</v>
      </c>
      <c r="R271" s="103">
        <v>0</v>
      </c>
      <c r="S271" s="100">
        <v>5.24</v>
      </c>
      <c r="T271" s="100">
        <v>0.87</v>
      </c>
      <c r="U271" s="58"/>
      <c r="V271" s="176"/>
      <c r="W271" s="176"/>
      <c r="X271" s="176"/>
    </row>
    <row r="272" spans="1:24" s="60" customFormat="1" ht="22.5" customHeight="1" x14ac:dyDescent="0.2">
      <c r="A272" s="151">
        <v>338</v>
      </c>
      <c r="B272" s="210" t="s">
        <v>76</v>
      </c>
      <c r="C272" s="210"/>
      <c r="D272" s="99">
        <v>135</v>
      </c>
      <c r="E272" s="100">
        <v>17.47</v>
      </c>
      <c r="F272" s="100">
        <v>1.5</v>
      </c>
      <c r="G272" s="100">
        <v>0.5</v>
      </c>
      <c r="H272" s="100">
        <v>2.1</v>
      </c>
      <c r="I272" s="100">
        <v>94.5</v>
      </c>
      <c r="J272" s="100">
        <v>0.04</v>
      </c>
      <c r="K272" s="100">
        <v>0.02</v>
      </c>
      <c r="L272" s="99">
        <v>10</v>
      </c>
      <c r="M272" s="99">
        <v>0.02</v>
      </c>
      <c r="N272" s="100">
        <v>0.2</v>
      </c>
      <c r="O272" s="100">
        <v>16</v>
      </c>
      <c r="P272" s="100">
        <v>11</v>
      </c>
      <c r="Q272" s="99">
        <v>0.03</v>
      </c>
      <c r="R272" s="99">
        <v>2E-3</v>
      </c>
      <c r="S272" s="100">
        <v>9</v>
      </c>
      <c r="T272" s="100">
        <v>2.2000000000000002</v>
      </c>
      <c r="U272" s="58"/>
      <c r="V272" s="176"/>
      <c r="W272" s="176"/>
      <c r="X272" s="176"/>
    </row>
    <row r="273" spans="1:24" s="1" customFormat="1" ht="11.25" customHeight="1" x14ac:dyDescent="0.2">
      <c r="A273" s="108" t="s">
        <v>82</v>
      </c>
      <c r="B273" s="109"/>
      <c r="C273" s="109"/>
      <c r="D273" s="110">
        <f t="shared" ref="D273:T273" si="74">SUM(D269:D272)</f>
        <v>538</v>
      </c>
      <c r="E273" s="111">
        <f t="shared" si="74"/>
        <v>73</v>
      </c>
      <c r="F273" s="121">
        <f t="shared" si="74"/>
        <v>11.81</v>
      </c>
      <c r="G273" s="122">
        <f t="shared" si="74"/>
        <v>13.83</v>
      </c>
      <c r="H273" s="122">
        <f t="shared" si="74"/>
        <v>89.089999999999989</v>
      </c>
      <c r="I273" s="122">
        <f t="shared" si="74"/>
        <v>607.21</v>
      </c>
      <c r="J273" s="121">
        <f t="shared" si="74"/>
        <v>0.15000000000000002</v>
      </c>
      <c r="K273" s="121">
        <f t="shared" si="74"/>
        <v>0.21</v>
      </c>
      <c r="L273" s="121">
        <f t="shared" si="74"/>
        <v>23.09</v>
      </c>
      <c r="M273" s="121">
        <f t="shared" si="74"/>
        <v>0.06</v>
      </c>
      <c r="N273" s="121">
        <f t="shared" si="74"/>
        <v>1.6239999999999999</v>
      </c>
      <c r="O273" s="121">
        <f t="shared" si="74"/>
        <v>40.24</v>
      </c>
      <c r="P273" s="121">
        <f t="shared" si="74"/>
        <v>180.88</v>
      </c>
      <c r="Q273" s="121">
        <f t="shared" si="74"/>
        <v>0.88700000000000012</v>
      </c>
      <c r="R273" s="124">
        <f t="shared" si="74"/>
        <v>2.4E-2</v>
      </c>
      <c r="S273" s="121">
        <f t="shared" si="74"/>
        <v>36.17</v>
      </c>
      <c r="T273" s="121">
        <f t="shared" si="74"/>
        <v>6.1800000000000006</v>
      </c>
      <c r="U273" s="55"/>
      <c r="V273" s="56"/>
      <c r="W273" s="56"/>
      <c r="X273" s="56"/>
    </row>
    <row r="274" spans="1:24" s="1" customFormat="1" ht="11.25" customHeight="1" x14ac:dyDescent="0.2">
      <c r="A274" s="206" t="s">
        <v>55</v>
      </c>
      <c r="B274" s="207"/>
      <c r="C274" s="207"/>
      <c r="D274" s="208"/>
      <c r="E274" s="112"/>
      <c r="F274" s="113">
        <f t="shared" ref="F274:T274" si="75">F273/F292</f>
        <v>0.13122222222222224</v>
      </c>
      <c r="G274" s="115">
        <f t="shared" si="75"/>
        <v>0.15032608695652175</v>
      </c>
      <c r="H274" s="115">
        <f t="shared" si="75"/>
        <v>0.23261096605744122</v>
      </c>
      <c r="I274" s="115">
        <f t="shared" si="75"/>
        <v>0.2232389705882353</v>
      </c>
      <c r="J274" s="115">
        <f t="shared" si="75"/>
        <v>0.10714285714285716</v>
      </c>
      <c r="K274" s="115">
        <f t="shared" si="75"/>
        <v>0.13124999999999998</v>
      </c>
      <c r="L274" s="115">
        <f t="shared" si="75"/>
        <v>0.32985714285714285</v>
      </c>
      <c r="M274" s="115">
        <f t="shared" si="75"/>
        <v>6.6666666666666666E-2</v>
      </c>
      <c r="N274" s="115">
        <f t="shared" si="75"/>
        <v>0.13533333333333333</v>
      </c>
      <c r="O274" s="115">
        <f t="shared" si="75"/>
        <v>3.3533333333333332E-2</v>
      </c>
      <c r="P274" s="115">
        <f t="shared" si="75"/>
        <v>0.15073333333333333</v>
      </c>
      <c r="Q274" s="115">
        <f t="shared" si="75"/>
        <v>6.3357142857142862E-2</v>
      </c>
      <c r="R274" s="115">
        <f t="shared" si="75"/>
        <v>0.24</v>
      </c>
      <c r="S274" s="115">
        <f t="shared" si="75"/>
        <v>0.12056666666666667</v>
      </c>
      <c r="T274" s="115">
        <f t="shared" si="75"/>
        <v>0.34333333333333338</v>
      </c>
      <c r="U274" s="57"/>
      <c r="V274" s="56"/>
      <c r="W274" s="56"/>
      <c r="X274" s="56"/>
    </row>
    <row r="275" spans="1:24" s="1" customFormat="1" ht="11.25" customHeight="1" x14ac:dyDescent="0.2">
      <c r="A275" s="222" t="s">
        <v>24</v>
      </c>
      <c r="B275" s="223"/>
      <c r="C275" s="223"/>
      <c r="D275" s="223"/>
      <c r="E275" s="223"/>
      <c r="F275" s="223"/>
      <c r="G275" s="223"/>
      <c r="H275" s="223"/>
      <c r="I275" s="223"/>
      <c r="J275" s="223"/>
      <c r="K275" s="223"/>
      <c r="L275" s="223"/>
      <c r="M275" s="223"/>
      <c r="N275" s="223"/>
      <c r="O275" s="223"/>
      <c r="P275" s="223"/>
      <c r="Q275" s="223"/>
      <c r="R275" s="223"/>
      <c r="S275" s="223"/>
      <c r="T275" s="224"/>
      <c r="U275" s="6"/>
      <c r="V275" s="19"/>
      <c r="W275" s="19"/>
      <c r="X275" s="19"/>
    </row>
    <row r="276" spans="1:24" s="52" customFormat="1" ht="20.25" customHeight="1" x14ac:dyDescent="0.2">
      <c r="A276" s="94">
        <v>24</v>
      </c>
      <c r="B276" s="193" t="s">
        <v>112</v>
      </c>
      <c r="C276" s="194"/>
      <c r="D276" s="95">
        <v>100</v>
      </c>
      <c r="E276" s="96">
        <v>10.44</v>
      </c>
      <c r="F276" s="96">
        <v>1.5</v>
      </c>
      <c r="G276" s="96">
        <v>5.2</v>
      </c>
      <c r="H276" s="96">
        <v>9.3000000000000007</v>
      </c>
      <c r="I276" s="96">
        <v>89.83</v>
      </c>
      <c r="J276" s="97">
        <v>0.16700000000000001</v>
      </c>
      <c r="K276" s="96">
        <v>0.16700000000000001</v>
      </c>
      <c r="L276" s="96">
        <v>20.5</v>
      </c>
      <c r="M276" s="97">
        <v>0.03</v>
      </c>
      <c r="N276" s="95">
        <v>0.83</v>
      </c>
      <c r="O276" s="96">
        <v>99.8</v>
      </c>
      <c r="P276" s="96">
        <v>52.2</v>
      </c>
      <c r="Q276" s="97">
        <v>0.7</v>
      </c>
      <c r="R276" s="97">
        <v>5.0000000000000001E-3</v>
      </c>
      <c r="S276" s="96">
        <v>27.2</v>
      </c>
      <c r="T276" s="96">
        <v>1.17</v>
      </c>
      <c r="U276" s="53"/>
      <c r="V276" s="54"/>
      <c r="W276" s="54"/>
      <c r="X276" s="54"/>
    </row>
    <row r="277" spans="1:24" s="60" customFormat="1" ht="12.75" customHeight="1" x14ac:dyDescent="0.2">
      <c r="A277" s="91">
        <v>84</v>
      </c>
      <c r="B277" s="193" t="s">
        <v>64</v>
      </c>
      <c r="C277" s="194"/>
      <c r="D277" s="101">
        <v>250</v>
      </c>
      <c r="E277" s="100">
        <v>13.9</v>
      </c>
      <c r="F277" s="100">
        <f>1.77*D277/200</f>
        <v>2.2124999999999999</v>
      </c>
      <c r="G277" s="100">
        <f>2.65*D277/200</f>
        <v>3.3125</v>
      </c>
      <c r="H277" s="100">
        <f>12.74*D277/200</f>
        <v>15.925000000000001</v>
      </c>
      <c r="I277" s="100">
        <f t="shared" ref="I277:I283" si="76">F277*4+G277*9+H277*4</f>
        <v>102.36250000000001</v>
      </c>
      <c r="J277" s="103">
        <f>0.05*D277/200</f>
        <v>6.25E-2</v>
      </c>
      <c r="K277" s="103">
        <f>0.05*D277/200</f>
        <v>6.25E-2</v>
      </c>
      <c r="L277" s="100">
        <f>19*D277/200</f>
        <v>23.75</v>
      </c>
      <c r="M277" s="100">
        <f>0.74*D277/200</f>
        <v>0.92500000000000004</v>
      </c>
      <c r="N277" s="101">
        <f>0.1*D277/200</f>
        <v>0.125</v>
      </c>
      <c r="O277" s="100">
        <f>43.11*D277/200</f>
        <v>53.887500000000003</v>
      </c>
      <c r="P277" s="100">
        <f>48.75*D277/200</f>
        <v>60.9375</v>
      </c>
      <c r="Q277" s="103">
        <f>1.3*D277/200</f>
        <v>1.625</v>
      </c>
      <c r="R277" s="103">
        <f>0.0032*D277/200</f>
        <v>4.0000000000000001E-3</v>
      </c>
      <c r="S277" s="100">
        <f>22.44*D277/200</f>
        <v>28.05</v>
      </c>
      <c r="T277" s="100">
        <f>0.8*D277/200</f>
        <v>1</v>
      </c>
      <c r="U277" s="58"/>
      <c r="V277" s="59"/>
      <c r="W277" s="59"/>
      <c r="X277" s="59"/>
    </row>
    <row r="278" spans="1:24" s="60" customFormat="1" ht="12.75" customHeight="1" x14ac:dyDescent="0.2">
      <c r="A278" s="91">
        <v>279</v>
      </c>
      <c r="B278" s="236" t="s">
        <v>101</v>
      </c>
      <c r="C278" s="237"/>
      <c r="D278" s="101">
        <v>130</v>
      </c>
      <c r="E278" s="101">
        <v>33.93</v>
      </c>
      <c r="F278" s="100">
        <v>13.49</v>
      </c>
      <c r="G278" s="116">
        <v>16.190000000000001</v>
      </c>
      <c r="H278" s="116">
        <v>17.18</v>
      </c>
      <c r="I278" s="100">
        <v>264.09500000000003</v>
      </c>
      <c r="J278" s="101">
        <v>0.18</v>
      </c>
      <c r="K278" s="100">
        <v>0.14899999999999999</v>
      </c>
      <c r="L278" s="100">
        <v>0.36</v>
      </c>
      <c r="M278" s="101">
        <v>8.9999999999999993E-3</v>
      </c>
      <c r="N278" s="101">
        <v>0.01</v>
      </c>
      <c r="O278" s="116">
        <v>14.55</v>
      </c>
      <c r="P278" s="116">
        <v>159.33000000000001</v>
      </c>
      <c r="Q278" s="100">
        <v>2.29</v>
      </c>
      <c r="R278" s="103">
        <v>3.5000000000000003E-2</v>
      </c>
      <c r="S278" s="116">
        <v>23.33</v>
      </c>
      <c r="T278" s="100">
        <v>2.29</v>
      </c>
      <c r="U278" s="58"/>
      <c r="V278" s="59"/>
      <c r="W278" s="59"/>
      <c r="X278" s="59"/>
    </row>
    <row r="279" spans="1:24" s="60" customFormat="1" ht="12" customHeight="1" x14ac:dyDescent="0.2">
      <c r="A279" s="91">
        <v>203</v>
      </c>
      <c r="B279" s="193" t="s">
        <v>65</v>
      </c>
      <c r="C279" s="194"/>
      <c r="D279" s="99">
        <v>180</v>
      </c>
      <c r="E279" s="100">
        <v>8.77</v>
      </c>
      <c r="F279" s="100">
        <v>6.84</v>
      </c>
      <c r="G279" s="100">
        <v>4.1159999999999997</v>
      </c>
      <c r="H279" s="100">
        <v>43.740000000000009</v>
      </c>
      <c r="I279" s="100">
        <v>239.36400000000003</v>
      </c>
      <c r="J279" s="100">
        <v>0.108</v>
      </c>
      <c r="K279" s="100">
        <v>3.5999999999999997E-2</v>
      </c>
      <c r="L279" s="100">
        <v>0</v>
      </c>
      <c r="M279" s="103">
        <v>3.5999999999999997E-2</v>
      </c>
      <c r="N279" s="100">
        <v>1.5</v>
      </c>
      <c r="O279" s="100">
        <v>15.936</v>
      </c>
      <c r="P279" s="100">
        <v>55.451999999999998</v>
      </c>
      <c r="Q279" s="100">
        <v>0.93600000000000005</v>
      </c>
      <c r="R279" s="103">
        <v>1.8000000000000002E-3</v>
      </c>
      <c r="S279" s="100">
        <v>10.164000000000001</v>
      </c>
      <c r="T279" s="100">
        <v>1.032</v>
      </c>
      <c r="U279" s="58"/>
      <c r="V279" s="59"/>
      <c r="W279" s="59"/>
      <c r="X279" s="59"/>
    </row>
    <row r="280" spans="1:24" s="60" customFormat="1" x14ac:dyDescent="0.2">
      <c r="A280" s="104">
        <v>345</v>
      </c>
      <c r="B280" s="197" t="s">
        <v>44</v>
      </c>
      <c r="C280" s="197"/>
      <c r="D280" s="118">
        <v>200</v>
      </c>
      <c r="E280" s="119">
        <v>4.9000000000000004</v>
      </c>
      <c r="F280" s="119">
        <v>0.06</v>
      </c>
      <c r="G280" s="119">
        <v>0.02</v>
      </c>
      <c r="H280" s="119">
        <v>20.73</v>
      </c>
      <c r="I280" s="119">
        <v>83.34</v>
      </c>
      <c r="J280" s="119">
        <v>0</v>
      </c>
      <c r="K280" s="119">
        <v>0</v>
      </c>
      <c r="L280" s="119">
        <v>2.5</v>
      </c>
      <c r="M280" s="119">
        <v>4.0000000000000001E-3</v>
      </c>
      <c r="N280" s="119">
        <v>0.2</v>
      </c>
      <c r="O280" s="119">
        <v>4</v>
      </c>
      <c r="P280" s="119">
        <v>3.3</v>
      </c>
      <c r="Q280" s="119">
        <v>0.08</v>
      </c>
      <c r="R280" s="119">
        <v>1E-3</v>
      </c>
      <c r="S280" s="119">
        <v>1.7</v>
      </c>
      <c r="T280" s="119">
        <v>0.15</v>
      </c>
      <c r="U280" s="58"/>
      <c r="V280" s="59"/>
      <c r="W280" s="59"/>
      <c r="X280" s="59"/>
    </row>
    <row r="281" spans="1:24" s="52" customFormat="1" ht="11.25" customHeight="1" x14ac:dyDescent="0.2">
      <c r="A281" s="142" t="s">
        <v>58</v>
      </c>
      <c r="B281" s="217" t="s">
        <v>113</v>
      </c>
      <c r="C281" s="218"/>
      <c r="D281" s="142">
        <v>60</v>
      </c>
      <c r="E281" s="172">
        <v>17.46</v>
      </c>
      <c r="F281" s="172">
        <v>1.7</v>
      </c>
      <c r="G281" s="173">
        <v>2.2599999999999998</v>
      </c>
      <c r="H281" s="174">
        <v>13.8</v>
      </c>
      <c r="I281" s="172">
        <v>82.34</v>
      </c>
      <c r="J281" s="172">
        <v>2.5999999999999999E-2</v>
      </c>
      <c r="K281" s="172">
        <v>0.03</v>
      </c>
      <c r="L281" s="172">
        <v>0.13</v>
      </c>
      <c r="M281" s="172">
        <v>11.96</v>
      </c>
      <c r="N281" s="173">
        <v>0.39</v>
      </c>
      <c r="O281" s="172">
        <v>24.18</v>
      </c>
      <c r="P281" s="172">
        <v>49.4</v>
      </c>
      <c r="Q281" s="175">
        <v>0.2</v>
      </c>
      <c r="R281" s="172">
        <v>2E-3</v>
      </c>
      <c r="S281" s="172">
        <v>18.72</v>
      </c>
      <c r="T281" s="172">
        <v>0.182</v>
      </c>
      <c r="U281"/>
      <c r="V281" s="71"/>
      <c r="W281" s="71"/>
      <c r="X281" s="71"/>
    </row>
    <row r="282" spans="1:24" s="60" customFormat="1" ht="11.25" customHeight="1" x14ac:dyDescent="0.2">
      <c r="A282" s="120" t="s">
        <v>58</v>
      </c>
      <c r="B282" s="193" t="s">
        <v>42</v>
      </c>
      <c r="C282" s="194"/>
      <c r="D282" s="99">
        <v>40</v>
      </c>
      <c r="E282" s="100">
        <v>2.08</v>
      </c>
      <c r="F282" s="100">
        <f>2.64*D282/40</f>
        <v>2.64</v>
      </c>
      <c r="G282" s="100">
        <f>0.48*D282/40</f>
        <v>0.48</v>
      </c>
      <c r="H282" s="100">
        <f>13.68*D282/40</f>
        <v>13.680000000000001</v>
      </c>
      <c r="I282" s="116">
        <f t="shared" si="76"/>
        <v>69.600000000000009</v>
      </c>
      <c r="J282" s="101">
        <f>0.08*D282/40</f>
        <v>0.08</v>
      </c>
      <c r="K282" s="100">
        <f>0.04*D282/40</f>
        <v>0.04</v>
      </c>
      <c r="L282" s="99">
        <v>0</v>
      </c>
      <c r="M282" s="99">
        <v>0</v>
      </c>
      <c r="N282" s="100">
        <f>2.4*D282/40</f>
        <v>2.4</v>
      </c>
      <c r="O282" s="100">
        <f>14*D282/40</f>
        <v>14</v>
      </c>
      <c r="P282" s="100">
        <f>63.2*D282/40</f>
        <v>63.2</v>
      </c>
      <c r="Q282" s="100">
        <f>1.2*D282/40</f>
        <v>1.2</v>
      </c>
      <c r="R282" s="103">
        <f>0.001*D282/40</f>
        <v>1E-3</v>
      </c>
      <c r="S282" s="100">
        <f>9.4*D282/40</f>
        <v>9.4</v>
      </c>
      <c r="T282" s="101">
        <f>0.78*D282/40</f>
        <v>0.78</v>
      </c>
      <c r="U282" s="66"/>
      <c r="V282" s="67"/>
      <c r="W282" s="67"/>
      <c r="X282" s="67"/>
    </row>
    <row r="283" spans="1:24" s="60" customFormat="1" ht="11.25" customHeight="1" x14ac:dyDescent="0.2">
      <c r="A283" s="102" t="s">
        <v>58</v>
      </c>
      <c r="B283" s="193" t="s">
        <v>47</v>
      </c>
      <c r="C283" s="194"/>
      <c r="D283" s="99">
        <v>30</v>
      </c>
      <c r="E283" s="100">
        <v>2.52</v>
      </c>
      <c r="F283" s="100">
        <f>1.52*D283/30</f>
        <v>1.52</v>
      </c>
      <c r="G283" s="103">
        <f>0.16*D283/30</f>
        <v>0.16</v>
      </c>
      <c r="H283" s="103">
        <f>9.84*D283/30</f>
        <v>9.84</v>
      </c>
      <c r="I283" s="103">
        <f t="shared" si="76"/>
        <v>46.879999999999995</v>
      </c>
      <c r="J283" s="103">
        <f>0.02*D283/30</f>
        <v>0.02</v>
      </c>
      <c r="K283" s="103">
        <f>0.01*D283/30</f>
        <v>0.01</v>
      </c>
      <c r="L283" s="103">
        <f>0.44*D283/30</f>
        <v>0.44</v>
      </c>
      <c r="M283" s="103">
        <v>0</v>
      </c>
      <c r="N283" s="103">
        <f>0.7*D283/30</f>
        <v>0.7</v>
      </c>
      <c r="O283" s="103">
        <f>4*D283/30</f>
        <v>4</v>
      </c>
      <c r="P283" s="103">
        <f>13*D283/30</f>
        <v>13</v>
      </c>
      <c r="Q283" s="103">
        <f>0.008*D283/30</f>
        <v>8.0000000000000002E-3</v>
      </c>
      <c r="R283" s="103">
        <f>0.001*D283/30</f>
        <v>1E-3</v>
      </c>
      <c r="S283" s="103">
        <v>0</v>
      </c>
      <c r="T283" s="103">
        <f>0.22*D283/30</f>
        <v>0.22</v>
      </c>
      <c r="U283" s="58"/>
      <c r="V283" s="59"/>
      <c r="W283" s="59"/>
      <c r="X283" s="59"/>
    </row>
    <row r="284" spans="1:24" s="44" customFormat="1" ht="11.25" customHeight="1" x14ac:dyDescent="0.2">
      <c r="A284" s="108" t="s">
        <v>25</v>
      </c>
      <c r="B284" s="109"/>
      <c r="C284" s="109"/>
      <c r="D284" s="110">
        <f t="shared" ref="D284:I284" si="77">SUM(D276:D283)</f>
        <v>990</v>
      </c>
      <c r="E284" s="111">
        <f t="shared" si="77"/>
        <v>94</v>
      </c>
      <c r="F284" s="121">
        <f t="shared" si="77"/>
        <v>29.962499999999999</v>
      </c>
      <c r="G284" s="122">
        <f t="shared" si="77"/>
        <v>31.738500000000002</v>
      </c>
      <c r="H284" s="122">
        <f t="shared" si="77"/>
        <v>144.19500000000002</v>
      </c>
      <c r="I284" s="122">
        <f t="shared" si="77"/>
        <v>977.81150000000014</v>
      </c>
      <c r="J284" s="121">
        <f t="shared" ref="J284:T284" si="78">SUM(J276:J283)</f>
        <v>0.64349999999999996</v>
      </c>
      <c r="K284" s="121">
        <f t="shared" si="78"/>
        <v>0.4945</v>
      </c>
      <c r="L284" s="122">
        <f t="shared" si="78"/>
        <v>47.68</v>
      </c>
      <c r="M284" s="121">
        <f t="shared" si="78"/>
        <v>12.964</v>
      </c>
      <c r="N284" s="148">
        <f t="shared" si="78"/>
        <v>6.1550000000000002</v>
      </c>
      <c r="O284" s="122">
        <f t="shared" si="78"/>
        <v>230.35350000000003</v>
      </c>
      <c r="P284" s="122">
        <f t="shared" si="78"/>
        <v>456.81950000000001</v>
      </c>
      <c r="Q284" s="121">
        <f t="shared" si="78"/>
        <v>7.0390000000000006</v>
      </c>
      <c r="R284" s="121">
        <f t="shared" si="78"/>
        <v>5.0800000000000012E-2</v>
      </c>
      <c r="S284" s="122">
        <f t="shared" si="78"/>
        <v>118.56400000000001</v>
      </c>
      <c r="T284" s="121">
        <f t="shared" si="78"/>
        <v>6.8240000000000007</v>
      </c>
      <c r="U284" s="23"/>
      <c r="V284" s="45"/>
      <c r="W284" s="45"/>
      <c r="X284" s="45"/>
    </row>
    <row r="285" spans="1:24" s="44" customFormat="1" ht="11.25" customHeight="1" x14ac:dyDescent="0.2">
      <c r="A285" s="206" t="s">
        <v>55</v>
      </c>
      <c r="B285" s="207"/>
      <c r="C285" s="207"/>
      <c r="D285" s="208"/>
      <c r="E285" s="112"/>
      <c r="F285" s="113">
        <f t="shared" ref="F285:T285" si="79">F284/F292</f>
        <v>0.33291666666666664</v>
      </c>
      <c r="G285" s="115">
        <f t="shared" si="79"/>
        <v>0.34498369565217396</v>
      </c>
      <c r="H285" s="115">
        <f t="shared" si="79"/>
        <v>0.37648825065274155</v>
      </c>
      <c r="I285" s="115">
        <f t="shared" si="79"/>
        <v>0.35948952205882356</v>
      </c>
      <c r="J285" s="115">
        <f t="shared" si="79"/>
        <v>0.45964285714285713</v>
      </c>
      <c r="K285" s="115">
        <f t="shared" si="79"/>
        <v>0.30906249999999996</v>
      </c>
      <c r="L285" s="115">
        <f t="shared" si="79"/>
        <v>0.68114285714285716</v>
      </c>
      <c r="M285" s="115">
        <f t="shared" si="79"/>
        <v>14.404444444444444</v>
      </c>
      <c r="N285" s="115">
        <f t="shared" si="79"/>
        <v>0.51291666666666669</v>
      </c>
      <c r="O285" s="115">
        <f t="shared" si="79"/>
        <v>0.19196125000000003</v>
      </c>
      <c r="P285" s="115">
        <f t="shared" si="79"/>
        <v>0.38068291666666665</v>
      </c>
      <c r="Q285" s="115">
        <f t="shared" si="79"/>
        <v>0.50278571428571428</v>
      </c>
      <c r="R285" s="115">
        <f t="shared" si="79"/>
        <v>0.50800000000000012</v>
      </c>
      <c r="S285" s="115">
        <f t="shared" si="79"/>
        <v>0.39521333333333336</v>
      </c>
      <c r="T285" s="115">
        <f t="shared" si="79"/>
        <v>0.37911111111111118</v>
      </c>
      <c r="U285" s="47"/>
      <c r="V285" s="45"/>
      <c r="W285" s="45"/>
      <c r="X285" s="45"/>
    </row>
    <row r="286" spans="1:24" s="44" customFormat="1" ht="11.25" customHeight="1" x14ac:dyDescent="0.2">
      <c r="A286" s="222" t="s">
        <v>26</v>
      </c>
      <c r="B286" s="223"/>
      <c r="C286" s="223"/>
      <c r="D286" s="223"/>
      <c r="E286" s="223"/>
      <c r="F286" s="223"/>
      <c r="G286" s="223"/>
      <c r="H286" s="223"/>
      <c r="I286" s="223"/>
      <c r="J286" s="223"/>
      <c r="K286" s="223"/>
      <c r="L286" s="223"/>
      <c r="M286" s="223"/>
      <c r="N286" s="223"/>
      <c r="O286" s="223"/>
      <c r="P286" s="223"/>
      <c r="Q286" s="223"/>
      <c r="R286" s="223"/>
      <c r="S286" s="223"/>
      <c r="T286" s="224"/>
      <c r="U286" s="6"/>
      <c r="V286" s="19"/>
      <c r="W286" s="19"/>
      <c r="X286" s="19"/>
    </row>
    <row r="287" spans="1:24" s="42" customFormat="1" ht="22.35" customHeight="1" x14ac:dyDescent="0.2">
      <c r="A287" s="125"/>
      <c r="B287" s="205"/>
      <c r="C287" s="205"/>
      <c r="D287" s="129"/>
      <c r="E287" s="127"/>
      <c r="F287" s="127"/>
      <c r="G287" s="130"/>
      <c r="H287" s="130"/>
      <c r="I287" s="130"/>
      <c r="J287" s="127"/>
      <c r="K287" s="127"/>
      <c r="L287" s="127"/>
      <c r="M287" s="127"/>
      <c r="N287" s="129"/>
      <c r="O287" s="127"/>
      <c r="P287" s="127"/>
      <c r="Q287" s="130"/>
      <c r="R287" s="127"/>
      <c r="S287" s="130"/>
      <c r="T287" s="127"/>
      <c r="V287" s="176" t="s">
        <v>60</v>
      </c>
      <c r="W287" s="176" t="s">
        <v>61</v>
      </c>
      <c r="X287" s="176" t="s">
        <v>62</v>
      </c>
    </row>
    <row r="288" spans="1:24" s="42" customFormat="1" ht="11.25" customHeight="1" x14ac:dyDescent="0.2">
      <c r="A288" s="131"/>
      <c r="B288" s="197"/>
      <c r="C288" s="197"/>
      <c r="D288" s="118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  <c r="P288" s="119"/>
      <c r="Q288" s="119"/>
      <c r="R288" s="119"/>
      <c r="S288" s="119"/>
      <c r="T288" s="119"/>
      <c r="V288" s="176"/>
      <c r="W288" s="176"/>
      <c r="X288" s="176"/>
    </row>
    <row r="289" spans="1:24" s="1" customFormat="1" ht="11.25" customHeight="1" x14ac:dyDescent="0.2">
      <c r="A289" s="108" t="s">
        <v>27</v>
      </c>
      <c r="B289" s="109"/>
      <c r="C289" s="109"/>
      <c r="D289" s="110">
        <f t="shared" ref="D289:T289" si="80">SUM(D287:D288)</f>
        <v>0</v>
      </c>
      <c r="E289" s="111">
        <f t="shared" si="80"/>
        <v>0</v>
      </c>
      <c r="F289" s="111">
        <f t="shared" si="80"/>
        <v>0</v>
      </c>
      <c r="G289" s="111">
        <f t="shared" si="80"/>
        <v>0</v>
      </c>
      <c r="H289" s="111">
        <f t="shared" si="80"/>
        <v>0</v>
      </c>
      <c r="I289" s="111">
        <f t="shared" si="80"/>
        <v>0</v>
      </c>
      <c r="J289" s="111">
        <f t="shared" si="80"/>
        <v>0</v>
      </c>
      <c r="K289" s="111">
        <f t="shared" si="80"/>
        <v>0</v>
      </c>
      <c r="L289" s="111">
        <f t="shared" si="80"/>
        <v>0</v>
      </c>
      <c r="M289" s="111">
        <f t="shared" si="80"/>
        <v>0</v>
      </c>
      <c r="N289" s="111">
        <f t="shared" si="80"/>
        <v>0</v>
      </c>
      <c r="O289" s="111">
        <f t="shared" si="80"/>
        <v>0</v>
      </c>
      <c r="P289" s="111">
        <f t="shared" si="80"/>
        <v>0</v>
      </c>
      <c r="Q289" s="111">
        <f t="shared" si="80"/>
        <v>0</v>
      </c>
      <c r="R289" s="111">
        <f t="shared" si="80"/>
        <v>0</v>
      </c>
      <c r="S289" s="111">
        <f t="shared" si="80"/>
        <v>0</v>
      </c>
      <c r="T289" s="111">
        <f t="shared" si="80"/>
        <v>0</v>
      </c>
      <c r="U289" s="23"/>
      <c r="V289" s="176"/>
      <c r="W289" s="176"/>
      <c r="X289" s="176"/>
    </row>
    <row r="290" spans="1:24" s="1" customFormat="1" ht="11.25" customHeight="1" x14ac:dyDescent="0.2">
      <c r="A290" s="206" t="s">
        <v>55</v>
      </c>
      <c r="B290" s="207"/>
      <c r="C290" s="207"/>
      <c r="D290" s="208"/>
      <c r="E290" s="132"/>
      <c r="F290" s="114">
        <f>F289/F292</f>
        <v>0</v>
      </c>
      <c r="G290" s="115">
        <f t="shared" ref="G290:T290" si="81">G289/G292</f>
        <v>0</v>
      </c>
      <c r="H290" s="115">
        <f t="shared" si="81"/>
        <v>0</v>
      </c>
      <c r="I290" s="115">
        <f t="shared" si="81"/>
        <v>0</v>
      </c>
      <c r="J290" s="115">
        <f t="shared" si="81"/>
        <v>0</v>
      </c>
      <c r="K290" s="115">
        <f t="shared" si="81"/>
        <v>0</v>
      </c>
      <c r="L290" s="115">
        <f t="shared" si="81"/>
        <v>0</v>
      </c>
      <c r="M290" s="115">
        <f t="shared" si="81"/>
        <v>0</v>
      </c>
      <c r="N290" s="115">
        <f t="shared" si="81"/>
        <v>0</v>
      </c>
      <c r="O290" s="115">
        <f t="shared" si="81"/>
        <v>0</v>
      </c>
      <c r="P290" s="115">
        <f t="shared" si="81"/>
        <v>0</v>
      </c>
      <c r="Q290" s="115">
        <f t="shared" si="81"/>
        <v>0</v>
      </c>
      <c r="R290" s="115">
        <f t="shared" si="81"/>
        <v>0</v>
      </c>
      <c r="S290" s="115">
        <f t="shared" si="81"/>
        <v>0</v>
      </c>
      <c r="T290" s="115">
        <f t="shared" si="81"/>
        <v>0</v>
      </c>
      <c r="U290" s="47"/>
      <c r="V290" s="50"/>
      <c r="W290" s="50"/>
      <c r="X290" s="50"/>
    </row>
    <row r="291" spans="1:24" s="1" customFormat="1" ht="11.25" customHeight="1" x14ac:dyDescent="0.2">
      <c r="A291" s="108" t="s">
        <v>54</v>
      </c>
      <c r="B291" s="109"/>
      <c r="C291" s="109"/>
      <c r="D291" s="133">
        <f>D284+D273</f>
        <v>1528</v>
      </c>
      <c r="E291" s="134">
        <f>E284+E273</f>
        <v>167</v>
      </c>
      <c r="F291" s="121">
        <f t="shared" ref="F291:T291" si="82">SUM(F273,F284,F289)</f>
        <v>41.772500000000001</v>
      </c>
      <c r="G291" s="122">
        <f t="shared" si="82"/>
        <v>45.5685</v>
      </c>
      <c r="H291" s="122">
        <f t="shared" si="82"/>
        <v>233.28500000000003</v>
      </c>
      <c r="I291" s="122">
        <f t="shared" si="82"/>
        <v>1585.0215000000003</v>
      </c>
      <c r="J291" s="121">
        <f t="shared" si="82"/>
        <v>0.79349999999999998</v>
      </c>
      <c r="K291" s="121">
        <f t="shared" si="82"/>
        <v>0.70450000000000002</v>
      </c>
      <c r="L291" s="122">
        <f t="shared" si="82"/>
        <v>70.77</v>
      </c>
      <c r="M291" s="121">
        <f t="shared" si="82"/>
        <v>13.024000000000001</v>
      </c>
      <c r="N291" s="121">
        <f t="shared" si="82"/>
        <v>7.7789999999999999</v>
      </c>
      <c r="O291" s="122">
        <f t="shared" si="82"/>
        <v>270.59350000000001</v>
      </c>
      <c r="P291" s="122">
        <f t="shared" si="82"/>
        <v>637.69949999999994</v>
      </c>
      <c r="Q291" s="121">
        <f t="shared" si="82"/>
        <v>7.926000000000001</v>
      </c>
      <c r="R291" s="124">
        <f t="shared" si="82"/>
        <v>7.4800000000000005E-2</v>
      </c>
      <c r="S291" s="121">
        <f t="shared" si="82"/>
        <v>154.73400000000001</v>
      </c>
      <c r="T291" s="121">
        <f t="shared" si="82"/>
        <v>13.004000000000001</v>
      </c>
      <c r="U291" s="25"/>
      <c r="V291" s="36">
        <f>AVERAGE(I274,I306,I338,I377,I413)</f>
        <v>0.21940073529411766</v>
      </c>
      <c r="W291" s="36">
        <f>AVERAGE(I285,I314,I350,I388,I425)</f>
        <v>403.54474476102945</v>
      </c>
      <c r="X291" s="36">
        <f>AVERAGE(I290,I320,I357,I394,I431)</f>
        <v>0</v>
      </c>
    </row>
    <row r="292" spans="1:24" s="1" customFormat="1" ht="11.25" customHeight="1" x14ac:dyDescent="0.2">
      <c r="A292" s="186" t="s">
        <v>56</v>
      </c>
      <c r="B292" s="187"/>
      <c r="C292" s="187"/>
      <c r="D292" s="188"/>
      <c r="E292" s="135"/>
      <c r="F292" s="100">
        <v>90</v>
      </c>
      <c r="G292" s="116">
        <v>92</v>
      </c>
      <c r="H292" s="116">
        <v>383</v>
      </c>
      <c r="I292" s="116">
        <v>2720</v>
      </c>
      <c r="J292" s="100">
        <v>1.4</v>
      </c>
      <c r="K292" s="100">
        <v>1.6</v>
      </c>
      <c r="L292" s="99">
        <v>70</v>
      </c>
      <c r="M292" s="100">
        <v>0.9</v>
      </c>
      <c r="N292" s="99">
        <v>12</v>
      </c>
      <c r="O292" s="99">
        <v>1200</v>
      </c>
      <c r="P292" s="99">
        <v>1200</v>
      </c>
      <c r="Q292" s="99">
        <v>14</v>
      </c>
      <c r="R292" s="116">
        <v>0.1</v>
      </c>
      <c r="S292" s="99">
        <v>300</v>
      </c>
      <c r="T292" s="100">
        <v>18</v>
      </c>
      <c r="U292" s="48"/>
      <c r="V292" s="49"/>
      <c r="W292" s="49"/>
      <c r="X292" s="49"/>
    </row>
    <row r="293" spans="1:24" s="1" customFormat="1" ht="11.25" customHeight="1" x14ac:dyDescent="0.2">
      <c r="A293" s="206" t="s">
        <v>55</v>
      </c>
      <c r="B293" s="207"/>
      <c r="C293" s="207"/>
      <c r="D293" s="208"/>
      <c r="E293" s="132"/>
      <c r="F293" s="114">
        <f t="shared" ref="F293:T293" si="83">F291/F292</f>
        <v>0.46413888888888888</v>
      </c>
      <c r="G293" s="115">
        <f t="shared" si="83"/>
        <v>0.49530978260869568</v>
      </c>
      <c r="H293" s="115">
        <f t="shared" si="83"/>
        <v>0.60909921671018286</v>
      </c>
      <c r="I293" s="115">
        <f t="shared" si="83"/>
        <v>0.58272849264705895</v>
      </c>
      <c r="J293" s="115">
        <f t="shared" si="83"/>
        <v>0.56678571428571434</v>
      </c>
      <c r="K293" s="115">
        <f t="shared" si="83"/>
        <v>0.4403125</v>
      </c>
      <c r="L293" s="115">
        <f t="shared" si="83"/>
        <v>1.0109999999999999</v>
      </c>
      <c r="M293" s="136">
        <f>M291/M292</f>
        <v>14.471111111111112</v>
      </c>
      <c r="N293" s="115">
        <f t="shared" si="83"/>
        <v>0.64824999999999999</v>
      </c>
      <c r="O293" s="115">
        <f t="shared" si="83"/>
        <v>0.22549458333333333</v>
      </c>
      <c r="P293" s="115">
        <f t="shared" si="83"/>
        <v>0.53141624999999992</v>
      </c>
      <c r="Q293" s="115">
        <f t="shared" si="83"/>
        <v>0.56614285714285717</v>
      </c>
      <c r="R293" s="136">
        <f t="shared" si="83"/>
        <v>0.748</v>
      </c>
      <c r="S293" s="115">
        <f t="shared" si="83"/>
        <v>0.51578000000000002</v>
      </c>
      <c r="T293" s="136">
        <f t="shared" si="83"/>
        <v>0.72244444444444456</v>
      </c>
      <c r="U293" s="26"/>
      <c r="V293" s="27"/>
      <c r="W293" s="27"/>
      <c r="X293" s="27"/>
    </row>
    <row r="294" spans="1:24" s="1" customFormat="1" ht="11.25" customHeight="1" x14ac:dyDescent="0.2">
      <c r="A294" s="209" t="s">
        <v>40</v>
      </c>
      <c r="B294" s="209"/>
      <c r="C294" s="209"/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8"/>
      <c r="V294" s="20"/>
      <c r="W294" s="20"/>
      <c r="X294" s="20"/>
    </row>
    <row r="295" spans="1:24" s="1" customFormat="1" ht="11.25" customHeight="1" x14ac:dyDescent="0.2">
      <c r="A295" s="84" t="s">
        <v>48</v>
      </c>
      <c r="B295" s="85"/>
      <c r="C295" s="85"/>
      <c r="D295" s="79"/>
      <c r="E295" s="79"/>
      <c r="F295" s="82"/>
      <c r="G295" s="181" t="s">
        <v>35</v>
      </c>
      <c r="H295" s="181"/>
      <c r="I295" s="181"/>
      <c r="J295" s="81"/>
      <c r="K295" s="81"/>
      <c r="L295" s="199" t="s">
        <v>1</v>
      </c>
      <c r="M295" s="199"/>
      <c r="N295" s="211" t="str">
        <f>N263</f>
        <v>осенне-зимний</v>
      </c>
      <c r="O295" s="211"/>
      <c r="P295" s="211"/>
      <c r="Q295" s="211"/>
      <c r="R295" s="81"/>
      <c r="S295" s="81"/>
      <c r="T295" s="81"/>
      <c r="U295" s="9"/>
      <c r="V295" s="15"/>
      <c r="W295" s="15"/>
      <c r="X295" s="15"/>
    </row>
    <row r="296" spans="1:24" s="1" customFormat="1" ht="11.25" customHeight="1" x14ac:dyDescent="0.2">
      <c r="A296" s="85"/>
      <c r="B296" s="85"/>
      <c r="C296" s="85"/>
      <c r="D296" s="199" t="s">
        <v>2</v>
      </c>
      <c r="E296" s="199"/>
      <c r="F296" s="199"/>
      <c r="G296" s="86">
        <v>2</v>
      </c>
      <c r="H296" s="81"/>
      <c r="I296" s="79"/>
      <c r="J296" s="79"/>
      <c r="K296" s="79"/>
      <c r="L296" s="199" t="s">
        <v>3</v>
      </c>
      <c r="M296" s="199"/>
      <c r="N296" s="181" t="str">
        <f>N264</f>
        <v>с 7-11 лет;12 и старше</v>
      </c>
      <c r="O296" s="181"/>
      <c r="P296" s="181"/>
      <c r="Q296" s="181"/>
      <c r="R296" s="181"/>
      <c r="S296" s="181"/>
      <c r="T296" s="181"/>
      <c r="U296" s="10"/>
      <c r="V296" s="16"/>
      <c r="W296" s="16"/>
      <c r="X296" s="16"/>
    </row>
    <row r="297" spans="1:24" s="1" customFormat="1" ht="21.75" customHeight="1" x14ac:dyDescent="0.2">
      <c r="A297" s="201" t="s">
        <v>4</v>
      </c>
      <c r="B297" s="201" t="s">
        <v>5</v>
      </c>
      <c r="C297" s="201"/>
      <c r="D297" s="201" t="s">
        <v>6</v>
      </c>
      <c r="E297" s="87"/>
      <c r="F297" s="189" t="s">
        <v>7</v>
      </c>
      <c r="G297" s="190"/>
      <c r="H297" s="191"/>
      <c r="I297" s="201" t="s">
        <v>8</v>
      </c>
      <c r="J297" s="233" t="s">
        <v>9</v>
      </c>
      <c r="K297" s="233"/>
      <c r="L297" s="233"/>
      <c r="M297" s="233"/>
      <c r="N297" s="233"/>
      <c r="O297" s="233" t="s">
        <v>10</v>
      </c>
      <c r="P297" s="233"/>
      <c r="Q297" s="233"/>
      <c r="R297" s="233"/>
      <c r="S297" s="233"/>
      <c r="T297" s="233"/>
      <c r="U297" s="4"/>
      <c r="V297" s="17"/>
      <c r="W297" s="17"/>
      <c r="X297" s="17"/>
    </row>
    <row r="298" spans="1:24" s="1" customFormat="1" ht="21" customHeight="1" x14ac:dyDescent="0.2">
      <c r="A298" s="202"/>
      <c r="B298" s="184"/>
      <c r="C298" s="185"/>
      <c r="D298" s="202"/>
      <c r="E298" s="88"/>
      <c r="F298" s="89" t="s">
        <v>11</v>
      </c>
      <c r="G298" s="90" t="s">
        <v>12</v>
      </c>
      <c r="H298" s="90" t="s">
        <v>13</v>
      </c>
      <c r="I298" s="202"/>
      <c r="J298" s="90" t="s">
        <v>14</v>
      </c>
      <c r="K298" s="90" t="s">
        <v>50</v>
      </c>
      <c r="L298" s="90" t="s">
        <v>15</v>
      </c>
      <c r="M298" s="90" t="s">
        <v>16</v>
      </c>
      <c r="N298" s="90" t="s">
        <v>17</v>
      </c>
      <c r="O298" s="90" t="s">
        <v>18</v>
      </c>
      <c r="P298" s="90" t="s">
        <v>19</v>
      </c>
      <c r="Q298" s="90" t="s">
        <v>51</v>
      </c>
      <c r="R298" s="90" t="s">
        <v>52</v>
      </c>
      <c r="S298" s="90" t="s">
        <v>20</v>
      </c>
      <c r="T298" s="90" t="s">
        <v>21</v>
      </c>
      <c r="U298" s="4"/>
      <c r="V298" s="17"/>
      <c r="W298" s="17"/>
      <c r="X298" s="17"/>
    </row>
    <row r="299" spans="1:24" s="1" customFormat="1" ht="11.25" customHeight="1" x14ac:dyDescent="0.2">
      <c r="A299" s="91">
        <v>1</v>
      </c>
      <c r="B299" s="214">
        <v>2</v>
      </c>
      <c r="C299" s="214"/>
      <c r="D299" s="92">
        <v>3</v>
      </c>
      <c r="E299" s="92"/>
      <c r="F299" s="92">
        <v>4</v>
      </c>
      <c r="G299" s="92">
        <v>5</v>
      </c>
      <c r="H299" s="92">
        <v>6</v>
      </c>
      <c r="I299" s="92">
        <v>7</v>
      </c>
      <c r="J299" s="92">
        <v>8</v>
      </c>
      <c r="K299" s="92">
        <v>9</v>
      </c>
      <c r="L299" s="92">
        <v>10</v>
      </c>
      <c r="M299" s="92">
        <v>11</v>
      </c>
      <c r="N299" s="92">
        <v>12</v>
      </c>
      <c r="O299" s="92">
        <v>13</v>
      </c>
      <c r="P299" s="92">
        <v>14</v>
      </c>
      <c r="Q299" s="92">
        <v>15</v>
      </c>
      <c r="R299" s="92">
        <v>16</v>
      </c>
      <c r="S299" s="92">
        <v>17</v>
      </c>
      <c r="T299" s="92">
        <v>18</v>
      </c>
      <c r="U299" s="5"/>
      <c r="V299" s="18"/>
      <c r="W299" s="18"/>
      <c r="X299" s="18"/>
    </row>
    <row r="300" spans="1:24" s="1" customFormat="1" ht="11.25" customHeight="1" x14ac:dyDescent="0.2">
      <c r="A300" s="222" t="s">
        <v>81</v>
      </c>
      <c r="B300" s="223"/>
      <c r="C300" s="223"/>
      <c r="D300" s="223"/>
      <c r="E300" s="223"/>
      <c r="F300" s="223"/>
      <c r="G300" s="223"/>
      <c r="H300" s="223"/>
      <c r="I300" s="223"/>
      <c r="J300" s="223"/>
      <c r="K300" s="223"/>
      <c r="L300" s="223"/>
      <c r="M300" s="223"/>
      <c r="N300" s="223"/>
      <c r="O300" s="223"/>
      <c r="P300" s="223"/>
      <c r="Q300" s="223"/>
      <c r="R300" s="223"/>
      <c r="S300" s="223"/>
      <c r="T300" s="224"/>
      <c r="U300" s="6"/>
      <c r="V300" s="19"/>
      <c r="W300" s="19"/>
      <c r="X300" s="19"/>
    </row>
    <row r="301" spans="1:24" s="60" customFormat="1" ht="24.75" customHeight="1" x14ac:dyDescent="0.2">
      <c r="A301" s="94">
        <v>71</v>
      </c>
      <c r="B301" s="193" t="s">
        <v>108</v>
      </c>
      <c r="C301" s="194"/>
      <c r="D301" s="95">
        <v>90</v>
      </c>
      <c r="E301" s="95">
        <v>16.760000000000002</v>
      </c>
      <c r="F301" s="96">
        <v>0.33</v>
      </c>
      <c r="G301" s="96">
        <v>0.04</v>
      </c>
      <c r="H301" s="96">
        <v>1.1299999999999999</v>
      </c>
      <c r="I301" s="96">
        <v>6.22</v>
      </c>
      <c r="J301" s="97">
        <v>8.9999999999999993E-3</v>
      </c>
      <c r="K301" s="96">
        <v>0.01</v>
      </c>
      <c r="L301" s="98">
        <v>3</v>
      </c>
      <c r="M301" s="97">
        <v>3.0000000000000001E-3</v>
      </c>
      <c r="N301" s="95">
        <v>0.03</v>
      </c>
      <c r="O301" s="96">
        <v>6.9</v>
      </c>
      <c r="P301" s="96">
        <v>12.6</v>
      </c>
      <c r="Q301" s="97">
        <v>6.4000000000000001E-2</v>
      </c>
      <c r="R301" s="97">
        <v>1E-3</v>
      </c>
      <c r="S301" s="96">
        <v>4.2</v>
      </c>
      <c r="T301" s="96">
        <v>0.18</v>
      </c>
      <c r="U301" s="62"/>
      <c r="V301" s="63"/>
      <c r="W301" s="63"/>
      <c r="X301" s="63"/>
    </row>
    <row r="302" spans="1:24" s="60" customFormat="1" ht="12" customHeight="1" x14ac:dyDescent="0.2">
      <c r="A302" s="91">
        <v>291</v>
      </c>
      <c r="B302" s="193" t="s">
        <v>105</v>
      </c>
      <c r="C302" s="194"/>
      <c r="D302" s="99">
        <v>220</v>
      </c>
      <c r="E302" s="100">
        <v>49.91</v>
      </c>
      <c r="F302" s="100">
        <v>20.492999999999999</v>
      </c>
      <c r="G302" s="100">
        <v>23.95</v>
      </c>
      <c r="H302" s="100">
        <v>43.295999999999999</v>
      </c>
      <c r="I302" s="100">
        <v>470.77</v>
      </c>
      <c r="J302" s="100">
        <v>0.748</v>
      </c>
      <c r="K302" s="100">
        <v>0.72599999999999998</v>
      </c>
      <c r="L302" s="100">
        <v>3.93</v>
      </c>
      <c r="M302" s="100">
        <v>0.42</v>
      </c>
      <c r="N302" s="101">
        <v>0</v>
      </c>
      <c r="O302" s="100">
        <v>40.600999999999999</v>
      </c>
      <c r="P302" s="100">
        <v>276.51</v>
      </c>
      <c r="Q302" s="99">
        <v>0</v>
      </c>
      <c r="R302" s="99">
        <v>0</v>
      </c>
      <c r="S302" s="100">
        <v>59.026000000000003</v>
      </c>
      <c r="T302" s="100">
        <v>2.5409999999999999</v>
      </c>
      <c r="U302" s="58"/>
      <c r="V302" s="59"/>
      <c r="W302" s="59"/>
      <c r="X302" s="59"/>
    </row>
    <row r="303" spans="1:24" s="60" customFormat="1" ht="11.25" customHeight="1" x14ac:dyDescent="0.2">
      <c r="A303" s="102" t="s">
        <v>58</v>
      </c>
      <c r="B303" s="193" t="s">
        <v>47</v>
      </c>
      <c r="C303" s="194"/>
      <c r="D303" s="99">
        <v>30</v>
      </c>
      <c r="E303" s="100">
        <v>2.52</v>
      </c>
      <c r="F303" s="100">
        <f>1.52*D303/30</f>
        <v>1.52</v>
      </c>
      <c r="G303" s="103">
        <f>0.16*D303/30</f>
        <v>0.16</v>
      </c>
      <c r="H303" s="103">
        <f>9.84*D303/30</f>
        <v>9.84</v>
      </c>
      <c r="I303" s="103">
        <f>F303*4+G303*9+H303*4</f>
        <v>46.879999999999995</v>
      </c>
      <c r="J303" s="103">
        <f>0.02*D303/30</f>
        <v>0.02</v>
      </c>
      <c r="K303" s="103">
        <f>0.01*D303/30</f>
        <v>0.01</v>
      </c>
      <c r="L303" s="103">
        <f>0.44*D303/30</f>
        <v>0.44</v>
      </c>
      <c r="M303" s="103">
        <v>0</v>
      </c>
      <c r="N303" s="103">
        <f>0.7*D303/30</f>
        <v>0.7</v>
      </c>
      <c r="O303" s="103">
        <f>4*D303/30</f>
        <v>4</v>
      </c>
      <c r="P303" s="103">
        <f>13*D303/30</f>
        <v>13</v>
      </c>
      <c r="Q303" s="103">
        <f>0.008*D303/30</f>
        <v>8.0000000000000002E-3</v>
      </c>
      <c r="R303" s="103">
        <f>0.001*D303/30</f>
        <v>1E-3</v>
      </c>
      <c r="S303" s="103">
        <v>0</v>
      </c>
      <c r="T303" s="103">
        <f>0.22*D303/30</f>
        <v>0.22</v>
      </c>
      <c r="U303" s="58"/>
      <c r="V303" s="59"/>
      <c r="W303" s="59"/>
      <c r="X303" s="59"/>
    </row>
    <row r="304" spans="1:24" s="60" customFormat="1" ht="12.75" customHeight="1" x14ac:dyDescent="0.2">
      <c r="A304" s="91">
        <v>377</v>
      </c>
      <c r="B304" s="210" t="s">
        <v>41</v>
      </c>
      <c r="C304" s="210"/>
      <c r="D304" s="99">
        <v>200</v>
      </c>
      <c r="E304" s="100">
        <v>3.81</v>
      </c>
      <c r="F304" s="100">
        <v>0.26</v>
      </c>
      <c r="G304" s="100">
        <v>0.06</v>
      </c>
      <c r="H304" s="100">
        <v>15.22</v>
      </c>
      <c r="I304" s="100">
        <f>F304*4+G304*9+H304*4</f>
        <v>62.46</v>
      </c>
      <c r="J304" s="100"/>
      <c r="K304" s="100">
        <v>0.01</v>
      </c>
      <c r="L304" s="100">
        <v>2.9</v>
      </c>
      <c r="M304" s="101">
        <v>0</v>
      </c>
      <c r="N304" s="100">
        <v>0.06</v>
      </c>
      <c r="O304" s="100">
        <v>8.0500000000000007</v>
      </c>
      <c r="P304" s="100">
        <v>9.7799999999999994</v>
      </c>
      <c r="Q304" s="100">
        <v>1.7000000000000001E-2</v>
      </c>
      <c r="R304" s="103">
        <v>0</v>
      </c>
      <c r="S304" s="100">
        <v>5.24</v>
      </c>
      <c r="T304" s="100">
        <v>0.87</v>
      </c>
      <c r="U304" s="58"/>
      <c r="V304" s="59"/>
      <c r="W304" s="59"/>
      <c r="X304" s="59"/>
    </row>
    <row r="305" spans="1:24" s="52" customFormat="1" ht="11.25" customHeight="1" x14ac:dyDescent="0.2">
      <c r="A305" s="108" t="s">
        <v>82</v>
      </c>
      <c r="B305" s="109"/>
      <c r="C305" s="109"/>
      <c r="D305" s="110">
        <f t="shared" ref="D305:T305" si="84">SUM(D301:D304)</f>
        <v>540</v>
      </c>
      <c r="E305" s="111">
        <f t="shared" si="84"/>
        <v>73</v>
      </c>
      <c r="F305" s="121">
        <f t="shared" si="84"/>
        <v>22.602999999999998</v>
      </c>
      <c r="G305" s="123">
        <f t="shared" si="84"/>
        <v>24.209999999999997</v>
      </c>
      <c r="H305" s="123">
        <f t="shared" si="84"/>
        <v>69.486000000000004</v>
      </c>
      <c r="I305" s="122">
        <f t="shared" si="84"/>
        <v>586.33000000000004</v>
      </c>
      <c r="J305" s="121">
        <f t="shared" si="84"/>
        <v>0.77700000000000002</v>
      </c>
      <c r="K305" s="121">
        <f t="shared" si="84"/>
        <v>0.75600000000000001</v>
      </c>
      <c r="L305" s="121">
        <f t="shared" si="84"/>
        <v>10.27</v>
      </c>
      <c r="M305" s="121">
        <f t="shared" si="84"/>
        <v>0.42299999999999999</v>
      </c>
      <c r="N305" s="122">
        <f t="shared" si="84"/>
        <v>0.79</v>
      </c>
      <c r="O305" s="122">
        <f t="shared" si="84"/>
        <v>59.551000000000002</v>
      </c>
      <c r="P305" s="122">
        <f t="shared" si="84"/>
        <v>311.89</v>
      </c>
      <c r="Q305" s="122">
        <f t="shared" si="84"/>
        <v>8.900000000000001E-2</v>
      </c>
      <c r="R305" s="121">
        <f t="shared" si="84"/>
        <v>2E-3</v>
      </c>
      <c r="S305" s="122">
        <f t="shared" si="84"/>
        <v>68.466000000000008</v>
      </c>
      <c r="T305" s="121">
        <f t="shared" si="84"/>
        <v>3.8110000000000004</v>
      </c>
      <c r="U305" s="55"/>
      <c r="V305" s="56"/>
      <c r="W305" s="56"/>
      <c r="X305" s="56"/>
    </row>
    <row r="306" spans="1:24" s="2" customFormat="1" ht="11.25" customHeight="1" x14ac:dyDescent="0.2">
      <c r="A306" s="206" t="s">
        <v>55</v>
      </c>
      <c r="B306" s="207"/>
      <c r="C306" s="207"/>
      <c r="D306" s="208"/>
      <c r="E306" s="112"/>
      <c r="F306" s="113">
        <f t="shared" ref="F306:T306" si="85">F305/F322</f>
        <v>0.25114444444444445</v>
      </c>
      <c r="G306" s="115">
        <f t="shared" si="85"/>
        <v>0.26315217391304346</v>
      </c>
      <c r="H306" s="115">
        <f t="shared" si="85"/>
        <v>0.18142558746736293</v>
      </c>
      <c r="I306" s="115">
        <f t="shared" si="85"/>
        <v>0.21556250000000002</v>
      </c>
      <c r="J306" s="115">
        <f t="shared" si="85"/>
        <v>0.55500000000000005</v>
      </c>
      <c r="K306" s="115">
        <f t="shared" si="85"/>
        <v>0.47249999999999998</v>
      </c>
      <c r="L306" s="115">
        <f t="shared" si="85"/>
        <v>0.14671428571428571</v>
      </c>
      <c r="M306" s="115">
        <f t="shared" si="85"/>
        <v>0.47</v>
      </c>
      <c r="N306" s="115">
        <f t="shared" si="85"/>
        <v>6.5833333333333341E-2</v>
      </c>
      <c r="O306" s="115">
        <f t="shared" si="85"/>
        <v>4.9625833333333334E-2</v>
      </c>
      <c r="P306" s="115">
        <f t="shared" si="85"/>
        <v>0.2599083333333333</v>
      </c>
      <c r="Q306" s="115">
        <f t="shared" si="85"/>
        <v>6.3571428571428581E-3</v>
      </c>
      <c r="R306" s="115">
        <f t="shared" si="85"/>
        <v>0.02</v>
      </c>
      <c r="S306" s="115">
        <f t="shared" si="85"/>
        <v>0.22822000000000003</v>
      </c>
      <c r="T306" s="115">
        <f t="shared" si="85"/>
        <v>0.21172222222222226</v>
      </c>
      <c r="U306" s="28"/>
      <c r="V306" s="24"/>
      <c r="W306" s="24"/>
      <c r="X306" s="24"/>
    </row>
    <row r="307" spans="1:24" s="2" customFormat="1" ht="11.25" customHeight="1" x14ac:dyDescent="0.2">
      <c r="A307" s="222" t="s">
        <v>24</v>
      </c>
      <c r="B307" s="223"/>
      <c r="C307" s="223"/>
      <c r="D307" s="223"/>
      <c r="E307" s="223"/>
      <c r="F307" s="223"/>
      <c r="G307" s="223"/>
      <c r="H307" s="223"/>
      <c r="I307" s="223"/>
      <c r="J307" s="223"/>
      <c r="K307" s="223"/>
      <c r="L307" s="223"/>
      <c r="M307" s="223"/>
      <c r="N307" s="223"/>
      <c r="O307" s="223"/>
      <c r="P307" s="223"/>
      <c r="Q307" s="223"/>
      <c r="R307" s="223"/>
      <c r="S307" s="223"/>
      <c r="T307" s="224"/>
      <c r="U307" s="6"/>
      <c r="V307" s="19"/>
      <c r="W307" s="19"/>
      <c r="X307" s="19"/>
    </row>
    <row r="308" spans="1:24" s="76" customFormat="1" ht="20.25" customHeight="1" x14ac:dyDescent="0.2">
      <c r="A308" s="94">
        <v>54</v>
      </c>
      <c r="B308" s="193" t="s">
        <v>107</v>
      </c>
      <c r="C308" s="194"/>
      <c r="D308" s="95">
        <v>65</v>
      </c>
      <c r="E308" s="95">
        <v>20.82</v>
      </c>
      <c r="F308" s="96">
        <v>3.44</v>
      </c>
      <c r="G308" s="96">
        <v>0.23</v>
      </c>
      <c r="H308" s="96">
        <v>3.5</v>
      </c>
      <c r="I308" s="96">
        <v>27.8</v>
      </c>
      <c r="J308" s="97">
        <v>0</v>
      </c>
      <c r="K308" s="96">
        <v>0.01</v>
      </c>
      <c r="L308" s="98">
        <v>3.7</v>
      </c>
      <c r="M308" s="97">
        <v>64.599999999999994</v>
      </c>
      <c r="N308" s="95">
        <v>0</v>
      </c>
      <c r="O308" s="96">
        <v>9.6</v>
      </c>
      <c r="P308" s="96">
        <v>40.24</v>
      </c>
      <c r="Q308" s="97">
        <v>0</v>
      </c>
      <c r="R308" s="97">
        <v>2.4E-2</v>
      </c>
      <c r="S308" s="96">
        <v>91</v>
      </c>
      <c r="T308" s="96">
        <v>2.4E-2</v>
      </c>
      <c r="U308" s="62"/>
      <c r="V308" s="63"/>
      <c r="W308" s="63"/>
      <c r="X308" s="63"/>
    </row>
    <row r="309" spans="1:24" s="60" customFormat="1" ht="22.5" customHeight="1" x14ac:dyDescent="0.2">
      <c r="A309" s="104">
        <v>103</v>
      </c>
      <c r="B309" s="197" t="s">
        <v>69</v>
      </c>
      <c r="C309" s="197"/>
      <c r="D309" s="105">
        <v>250</v>
      </c>
      <c r="E309" s="119">
        <v>9.9499999999999993</v>
      </c>
      <c r="F309" s="119">
        <v>12.37</v>
      </c>
      <c r="G309" s="119">
        <v>11.12</v>
      </c>
      <c r="H309" s="119">
        <v>31.5</v>
      </c>
      <c r="I309" s="119">
        <v>275.62</v>
      </c>
      <c r="J309" s="119">
        <v>0.25</v>
      </c>
      <c r="K309" s="119">
        <v>6.3E-2</v>
      </c>
      <c r="L309" s="119">
        <v>8.25</v>
      </c>
      <c r="M309" s="119">
        <v>0</v>
      </c>
      <c r="N309" s="119">
        <v>0</v>
      </c>
      <c r="O309" s="119">
        <v>49.37</v>
      </c>
      <c r="P309" s="119">
        <v>93.37</v>
      </c>
      <c r="Q309" s="119">
        <v>0</v>
      </c>
      <c r="R309" s="119">
        <v>1E-3</v>
      </c>
      <c r="S309" s="119">
        <v>27.25</v>
      </c>
      <c r="T309" s="119">
        <v>0.37</v>
      </c>
      <c r="U309" s="58"/>
      <c r="V309" s="59"/>
      <c r="W309" s="59"/>
      <c r="X309" s="59"/>
    </row>
    <row r="310" spans="1:24" s="60" customFormat="1" ht="12.75" customHeight="1" x14ac:dyDescent="0.2">
      <c r="A310" s="91">
        <v>259</v>
      </c>
      <c r="B310" s="193" t="s">
        <v>46</v>
      </c>
      <c r="C310" s="194"/>
      <c r="D310" s="99">
        <v>220</v>
      </c>
      <c r="E310" s="100">
        <v>53.43</v>
      </c>
      <c r="F310" s="100">
        <v>15.69</v>
      </c>
      <c r="G310" s="100">
        <v>16.510000000000002</v>
      </c>
      <c r="H310" s="100">
        <v>28.06</v>
      </c>
      <c r="I310" s="100">
        <v>323.63</v>
      </c>
      <c r="J310" s="100">
        <v>0.24</v>
      </c>
      <c r="K310" s="100">
        <v>0.22</v>
      </c>
      <c r="L310" s="100">
        <v>34.43</v>
      </c>
      <c r="M310" s="103">
        <v>0.06</v>
      </c>
      <c r="N310" s="101">
        <v>0.38</v>
      </c>
      <c r="O310" s="100">
        <v>46.42</v>
      </c>
      <c r="P310" s="116">
        <v>239.99</v>
      </c>
      <c r="Q310" s="116">
        <v>3.85</v>
      </c>
      <c r="R310" s="103">
        <v>2E-3</v>
      </c>
      <c r="S310" s="100">
        <v>61.45</v>
      </c>
      <c r="T310" s="100">
        <v>3.65</v>
      </c>
      <c r="U310" s="58"/>
      <c r="V310" s="59"/>
      <c r="W310" s="59"/>
      <c r="X310" s="59"/>
    </row>
    <row r="311" spans="1:24" s="64" customFormat="1" x14ac:dyDescent="0.2">
      <c r="A311" s="142">
        <v>699</v>
      </c>
      <c r="B311" s="217" t="s">
        <v>80</v>
      </c>
      <c r="C311" s="218"/>
      <c r="D311" s="143">
        <v>200</v>
      </c>
      <c r="E311" s="144">
        <v>5.2</v>
      </c>
      <c r="F311" s="144">
        <v>0.1</v>
      </c>
      <c r="G311" s="145">
        <v>0</v>
      </c>
      <c r="H311" s="146">
        <v>15.7</v>
      </c>
      <c r="I311" s="144">
        <v>63.2</v>
      </c>
      <c r="J311" s="145">
        <v>1.7999999999999999E-2</v>
      </c>
      <c r="K311" s="145">
        <v>1.2E-2</v>
      </c>
      <c r="L311" s="146">
        <v>8</v>
      </c>
      <c r="M311" s="145">
        <v>0</v>
      </c>
      <c r="N311" s="144">
        <v>0.2</v>
      </c>
      <c r="O311" s="144">
        <v>10.8</v>
      </c>
      <c r="P311" s="144">
        <v>1.7</v>
      </c>
      <c r="Q311" s="144">
        <v>0</v>
      </c>
      <c r="R311" s="147">
        <v>0</v>
      </c>
      <c r="S311" s="144">
        <v>5.8</v>
      </c>
      <c r="T311" s="144">
        <v>1.6</v>
      </c>
    </row>
    <row r="312" spans="1:24" s="60" customFormat="1" ht="11.25" customHeight="1" x14ac:dyDescent="0.2">
      <c r="A312" s="120" t="s">
        <v>58</v>
      </c>
      <c r="B312" s="193" t="s">
        <v>42</v>
      </c>
      <c r="C312" s="194"/>
      <c r="D312" s="99">
        <v>40</v>
      </c>
      <c r="E312" s="100">
        <v>2.08</v>
      </c>
      <c r="F312" s="100">
        <f>2.64*D312/40</f>
        <v>2.64</v>
      </c>
      <c r="G312" s="100">
        <f>0.48*D312/40</f>
        <v>0.48</v>
      </c>
      <c r="H312" s="100">
        <f>13.68*D312/40</f>
        <v>13.680000000000001</v>
      </c>
      <c r="I312" s="116">
        <f>F312*4+G312*9+H312*4</f>
        <v>69.600000000000009</v>
      </c>
      <c r="J312" s="101">
        <f>0.08*D312/40</f>
        <v>0.08</v>
      </c>
      <c r="K312" s="100">
        <f>0.04*D312/40</f>
        <v>0.04</v>
      </c>
      <c r="L312" s="99">
        <v>0</v>
      </c>
      <c r="M312" s="99">
        <v>0</v>
      </c>
      <c r="N312" s="100">
        <f>2.4*D312/40</f>
        <v>2.4</v>
      </c>
      <c r="O312" s="100">
        <f>14*D312/40</f>
        <v>14</v>
      </c>
      <c r="P312" s="100">
        <f>63.2*D312/40</f>
        <v>63.2</v>
      </c>
      <c r="Q312" s="100">
        <f>1.2*D312/40</f>
        <v>1.2</v>
      </c>
      <c r="R312" s="103">
        <f>0.001*D312/40</f>
        <v>1E-3</v>
      </c>
      <c r="S312" s="100">
        <f>9.4*D312/40</f>
        <v>9.4</v>
      </c>
      <c r="T312" s="101">
        <f>0.78*D312/40</f>
        <v>0.78</v>
      </c>
      <c r="U312" s="66"/>
      <c r="V312" s="67"/>
      <c r="W312" s="67"/>
      <c r="X312" s="67"/>
    </row>
    <row r="313" spans="1:24" s="2" customFormat="1" ht="11.25" customHeight="1" x14ac:dyDescent="0.2">
      <c r="A313" s="102" t="s">
        <v>58</v>
      </c>
      <c r="B313" s="193" t="s">
        <v>47</v>
      </c>
      <c r="C313" s="194"/>
      <c r="D313" s="99">
        <v>30</v>
      </c>
      <c r="E313" s="100">
        <v>2.52</v>
      </c>
      <c r="F313" s="100">
        <f>1.52*D313/30</f>
        <v>1.52</v>
      </c>
      <c r="G313" s="103">
        <f>0.16*D313/30</f>
        <v>0.16</v>
      </c>
      <c r="H313" s="103">
        <f>9.84*D313/30</f>
        <v>9.84</v>
      </c>
      <c r="I313" s="103">
        <f>F313*4+G313*9+H313*4</f>
        <v>46.879999999999995</v>
      </c>
      <c r="J313" s="103">
        <f>0.02*D313/30</f>
        <v>0.02</v>
      </c>
      <c r="K313" s="103">
        <f>0.01*D313/30</f>
        <v>0.01</v>
      </c>
      <c r="L313" s="103">
        <f>0.44*D313/30</f>
        <v>0.44</v>
      </c>
      <c r="M313" s="103">
        <v>0</v>
      </c>
      <c r="N313" s="103">
        <f>0.7*D313/30</f>
        <v>0.7</v>
      </c>
      <c r="O313" s="103">
        <f>4*D313/30</f>
        <v>4</v>
      </c>
      <c r="P313" s="103">
        <f>13*D313/30</f>
        <v>13</v>
      </c>
      <c r="Q313" s="103">
        <f>0.008*D313/30</f>
        <v>8.0000000000000002E-3</v>
      </c>
      <c r="R313" s="103">
        <f>0.001*D313/30</f>
        <v>1E-3</v>
      </c>
      <c r="S313" s="103">
        <v>0</v>
      </c>
      <c r="T313" s="103">
        <f>0.22*D313/30</f>
        <v>0.22</v>
      </c>
      <c r="U313" s="34"/>
      <c r="V313" s="35"/>
      <c r="W313" s="35"/>
      <c r="X313" s="35"/>
    </row>
    <row r="314" spans="1:24" s="2" customFormat="1" ht="11.25" customHeight="1" x14ac:dyDescent="0.2">
      <c r="A314" s="108" t="s">
        <v>25</v>
      </c>
      <c r="B314" s="109"/>
      <c r="C314" s="109"/>
      <c r="D314" s="110">
        <f t="shared" ref="D314:I314" si="86">SUM(D308:D313)</f>
        <v>805</v>
      </c>
      <c r="E314" s="111">
        <f t="shared" si="86"/>
        <v>94</v>
      </c>
      <c r="F314" s="121">
        <f t="shared" si="86"/>
        <v>35.760000000000005</v>
      </c>
      <c r="G314" s="122">
        <f t="shared" si="86"/>
        <v>28.5</v>
      </c>
      <c r="H314" s="122">
        <f t="shared" si="86"/>
        <v>102.28000000000002</v>
      </c>
      <c r="I314" s="122">
        <f t="shared" si="86"/>
        <v>806.73</v>
      </c>
      <c r="J314" s="122">
        <f t="shared" ref="J314:T314" si="87">SUM(J308:J313)</f>
        <v>0.60799999999999998</v>
      </c>
      <c r="K314" s="121">
        <f t="shared" si="87"/>
        <v>0.35499999999999998</v>
      </c>
      <c r="L314" s="122">
        <f t="shared" si="87"/>
        <v>54.819999999999993</v>
      </c>
      <c r="M314" s="122">
        <f t="shared" si="87"/>
        <v>64.66</v>
      </c>
      <c r="N314" s="148">
        <f t="shared" si="87"/>
        <v>3.6799999999999997</v>
      </c>
      <c r="O314" s="122">
        <f t="shared" si="87"/>
        <v>134.19</v>
      </c>
      <c r="P314" s="122">
        <f t="shared" si="87"/>
        <v>451.5</v>
      </c>
      <c r="Q314" s="122">
        <f t="shared" si="87"/>
        <v>5.0579999999999998</v>
      </c>
      <c r="R314" s="124">
        <f t="shared" si="87"/>
        <v>2.9000000000000005E-2</v>
      </c>
      <c r="S314" s="122">
        <f t="shared" si="87"/>
        <v>194.9</v>
      </c>
      <c r="T314" s="121">
        <f t="shared" si="87"/>
        <v>6.6440000000000001</v>
      </c>
      <c r="U314" s="23"/>
      <c r="V314" s="24"/>
      <c r="W314" s="24"/>
      <c r="X314" s="24"/>
    </row>
    <row r="315" spans="1:24" s="2" customFormat="1" ht="11.25" customHeight="1" x14ac:dyDescent="0.2">
      <c r="A315" s="206" t="s">
        <v>55</v>
      </c>
      <c r="B315" s="207"/>
      <c r="C315" s="207"/>
      <c r="D315" s="208"/>
      <c r="E315" s="132"/>
      <c r="F315" s="114">
        <f t="shared" ref="F315:T315" si="88">F314/F322</f>
        <v>0.39733333333333337</v>
      </c>
      <c r="G315" s="115">
        <f t="shared" si="88"/>
        <v>0.30978260869565216</v>
      </c>
      <c r="H315" s="115">
        <f t="shared" si="88"/>
        <v>0.26704960835509145</v>
      </c>
      <c r="I315" s="115">
        <f t="shared" si="88"/>
        <v>0.2965919117647059</v>
      </c>
      <c r="J315" s="115">
        <f t="shared" si="88"/>
        <v>0.43428571428571427</v>
      </c>
      <c r="K315" s="115">
        <f t="shared" si="88"/>
        <v>0.22187499999999999</v>
      </c>
      <c r="L315" s="115">
        <f t="shared" si="88"/>
        <v>0.78314285714285703</v>
      </c>
      <c r="M315" s="115">
        <f t="shared" si="88"/>
        <v>71.844444444444434</v>
      </c>
      <c r="N315" s="115">
        <f t="shared" si="88"/>
        <v>0.30666666666666664</v>
      </c>
      <c r="O315" s="115">
        <f t="shared" si="88"/>
        <v>0.11182499999999999</v>
      </c>
      <c r="P315" s="115">
        <f t="shared" si="88"/>
        <v>0.37624999999999997</v>
      </c>
      <c r="Q315" s="115">
        <f t="shared" si="88"/>
        <v>0.36128571428571427</v>
      </c>
      <c r="R315" s="115">
        <f t="shared" si="88"/>
        <v>0.29000000000000004</v>
      </c>
      <c r="S315" s="115">
        <f t="shared" si="88"/>
        <v>0.64966666666666673</v>
      </c>
      <c r="T315" s="115">
        <f t="shared" si="88"/>
        <v>0.36911111111111111</v>
      </c>
      <c r="U315" s="28"/>
      <c r="V315" s="24"/>
      <c r="W315" s="24"/>
      <c r="X315" s="24"/>
    </row>
    <row r="316" spans="1:24" s="2" customFormat="1" ht="11.25" customHeight="1" x14ac:dyDescent="0.2">
      <c r="A316" s="222" t="s">
        <v>26</v>
      </c>
      <c r="B316" s="223"/>
      <c r="C316" s="223"/>
      <c r="D316" s="223"/>
      <c r="E316" s="223"/>
      <c r="F316" s="223"/>
      <c r="G316" s="223"/>
      <c r="H316" s="223"/>
      <c r="I316" s="223"/>
      <c r="J316" s="223"/>
      <c r="K316" s="223"/>
      <c r="L316" s="223"/>
      <c r="M316" s="223"/>
      <c r="N316" s="223"/>
      <c r="O316" s="223"/>
      <c r="P316" s="223"/>
      <c r="Q316" s="223"/>
      <c r="R316" s="223"/>
      <c r="S316" s="223"/>
      <c r="T316" s="224"/>
      <c r="U316" s="6"/>
      <c r="V316" s="19"/>
      <c r="W316" s="19"/>
      <c r="X316" s="19"/>
    </row>
    <row r="317" spans="1:24" s="42" customFormat="1" ht="11.25" customHeight="1" x14ac:dyDescent="0.2">
      <c r="A317" s="167"/>
      <c r="B317" s="205"/>
      <c r="C317" s="205"/>
      <c r="D317" s="129"/>
      <c r="E317" s="127"/>
      <c r="F317" s="127"/>
      <c r="G317" s="127"/>
      <c r="H317" s="127"/>
      <c r="I317" s="127"/>
      <c r="J317" s="127"/>
      <c r="K317" s="127"/>
      <c r="L317" s="126"/>
      <c r="M317" s="126"/>
      <c r="N317" s="127"/>
      <c r="O317" s="127"/>
      <c r="P317" s="127"/>
      <c r="Q317" s="126"/>
      <c r="R317" s="126"/>
      <c r="S317" s="127"/>
      <c r="T317" s="127"/>
    </row>
    <row r="318" spans="1:24" s="42" customFormat="1" ht="11.25" customHeight="1" x14ac:dyDescent="0.2">
      <c r="A318" s="131"/>
      <c r="B318" s="197"/>
      <c r="C318" s="197"/>
      <c r="D318" s="118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  <c r="P318" s="119"/>
      <c r="Q318" s="119"/>
      <c r="R318" s="119"/>
      <c r="S318" s="119"/>
      <c r="T318" s="119"/>
    </row>
    <row r="319" spans="1:24" s="1" customFormat="1" ht="11.25" customHeight="1" x14ac:dyDescent="0.2">
      <c r="A319" s="108" t="s">
        <v>27</v>
      </c>
      <c r="B319" s="109"/>
      <c r="C319" s="109"/>
      <c r="D319" s="110">
        <f t="shared" ref="D319:I319" si="89">SUM(D317:D318)</f>
        <v>0</v>
      </c>
      <c r="E319" s="110">
        <f t="shared" si="89"/>
        <v>0</v>
      </c>
      <c r="F319" s="121">
        <f t="shared" si="89"/>
        <v>0</v>
      </c>
      <c r="G319" s="122">
        <f t="shared" si="89"/>
        <v>0</v>
      </c>
      <c r="H319" s="122">
        <f t="shared" si="89"/>
        <v>0</v>
      </c>
      <c r="I319" s="122">
        <f t="shared" si="89"/>
        <v>0</v>
      </c>
      <c r="J319" s="122">
        <f t="shared" ref="J319:T319" si="90">SUM(J317:J318)</f>
        <v>0</v>
      </c>
      <c r="K319" s="122">
        <f t="shared" si="90"/>
        <v>0</v>
      </c>
      <c r="L319" s="122">
        <f t="shared" si="90"/>
        <v>0</v>
      </c>
      <c r="M319" s="121">
        <f t="shared" si="90"/>
        <v>0</v>
      </c>
      <c r="N319" s="121">
        <f t="shared" si="90"/>
        <v>0</v>
      </c>
      <c r="O319" s="122">
        <f t="shared" si="90"/>
        <v>0</v>
      </c>
      <c r="P319" s="122">
        <f t="shared" si="90"/>
        <v>0</v>
      </c>
      <c r="Q319" s="122">
        <f t="shared" si="90"/>
        <v>0</v>
      </c>
      <c r="R319" s="124">
        <f t="shared" si="90"/>
        <v>0</v>
      </c>
      <c r="S319" s="122">
        <f t="shared" si="90"/>
        <v>0</v>
      </c>
      <c r="T319" s="121">
        <f t="shared" si="90"/>
        <v>0</v>
      </c>
      <c r="U319" s="23"/>
      <c r="V319" s="24"/>
      <c r="W319" s="24"/>
      <c r="X319" s="24"/>
    </row>
    <row r="320" spans="1:24" s="1" customFormat="1" ht="11.25" customHeight="1" x14ac:dyDescent="0.2">
      <c r="A320" s="206" t="s">
        <v>55</v>
      </c>
      <c r="B320" s="207"/>
      <c r="C320" s="207"/>
      <c r="D320" s="208"/>
      <c r="E320" s="132"/>
      <c r="F320" s="114">
        <f>F319/F322</f>
        <v>0</v>
      </c>
      <c r="G320" s="115">
        <f t="shared" ref="G320:T320" si="91">G319/G322</f>
        <v>0</v>
      </c>
      <c r="H320" s="115">
        <f t="shared" si="91"/>
        <v>0</v>
      </c>
      <c r="I320" s="115">
        <f t="shared" si="91"/>
        <v>0</v>
      </c>
      <c r="J320" s="115">
        <f t="shared" si="91"/>
        <v>0</v>
      </c>
      <c r="K320" s="115">
        <f t="shared" si="91"/>
        <v>0</v>
      </c>
      <c r="L320" s="115">
        <f t="shared" si="91"/>
        <v>0</v>
      </c>
      <c r="M320" s="115">
        <f t="shared" si="91"/>
        <v>0</v>
      </c>
      <c r="N320" s="115">
        <f t="shared" si="91"/>
        <v>0</v>
      </c>
      <c r="O320" s="115">
        <f t="shared" si="91"/>
        <v>0</v>
      </c>
      <c r="P320" s="115">
        <f t="shared" si="91"/>
        <v>0</v>
      </c>
      <c r="Q320" s="115">
        <f t="shared" si="91"/>
        <v>0</v>
      </c>
      <c r="R320" s="115">
        <f t="shared" si="91"/>
        <v>0</v>
      </c>
      <c r="S320" s="115">
        <f t="shared" si="91"/>
        <v>0</v>
      </c>
      <c r="T320" s="115">
        <f t="shared" si="91"/>
        <v>0</v>
      </c>
      <c r="U320" s="28"/>
      <c r="V320" s="24"/>
      <c r="W320" s="24"/>
      <c r="X320" s="24"/>
    </row>
    <row r="321" spans="1:24" s="1" customFormat="1" ht="11.25" customHeight="1" x14ac:dyDescent="0.2">
      <c r="A321" s="108" t="s">
        <v>54</v>
      </c>
      <c r="B321" s="109"/>
      <c r="C321" s="109"/>
      <c r="D321" s="133">
        <f>D314+D305</f>
        <v>1345</v>
      </c>
      <c r="E321" s="134">
        <f>E314+E305</f>
        <v>167</v>
      </c>
      <c r="F321" s="121">
        <f t="shared" ref="F321:T321" si="92">SUM(F305,F314,F319)</f>
        <v>58.363</v>
      </c>
      <c r="G321" s="122">
        <f t="shared" si="92"/>
        <v>52.709999999999994</v>
      </c>
      <c r="H321" s="122">
        <f t="shared" si="92"/>
        <v>171.76600000000002</v>
      </c>
      <c r="I321" s="122">
        <f t="shared" si="92"/>
        <v>1393.06</v>
      </c>
      <c r="J321" s="121">
        <f t="shared" si="92"/>
        <v>1.385</v>
      </c>
      <c r="K321" s="121">
        <f t="shared" si="92"/>
        <v>1.111</v>
      </c>
      <c r="L321" s="122">
        <f t="shared" si="92"/>
        <v>65.089999999999989</v>
      </c>
      <c r="M321" s="121">
        <f t="shared" si="92"/>
        <v>65.082999999999998</v>
      </c>
      <c r="N321" s="121">
        <f t="shared" si="92"/>
        <v>4.47</v>
      </c>
      <c r="O321" s="122">
        <f t="shared" si="92"/>
        <v>193.74099999999999</v>
      </c>
      <c r="P321" s="122">
        <f t="shared" si="92"/>
        <v>763.39</v>
      </c>
      <c r="Q321" s="121">
        <f t="shared" si="92"/>
        <v>5.1470000000000002</v>
      </c>
      <c r="R321" s="124">
        <f t="shared" si="92"/>
        <v>3.1000000000000007E-2</v>
      </c>
      <c r="S321" s="121">
        <f t="shared" si="92"/>
        <v>263.36599999999999</v>
      </c>
      <c r="T321" s="121">
        <f t="shared" si="92"/>
        <v>10.455</v>
      </c>
      <c r="U321" s="25"/>
      <c r="V321" s="24"/>
      <c r="W321" s="24"/>
      <c r="X321" s="24"/>
    </row>
    <row r="322" spans="1:24" s="1" customFormat="1" ht="11.25" customHeight="1" x14ac:dyDescent="0.2">
      <c r="A322" s="186" t="s">
        <v>56</v>
      </c>
      <c r="B322" s="187"/>
      <c r="C322" s="187"/>
      <c r="D322" s="188"/>
      <c r="E322" s="135"/>
      <c r="F322" s="100">
        <v>90</v>
      </c>
      <c r="G322" s="116">
        <v>92</v>
      </c>
      <c r="H322" s="116">
        <v>383</v>
      </c>
      <c r="I322" s="116">
        <v>2720</v>
      </c>
      <c r="J322" s="100">
        <v>1.4</v>
      </c>
      <c r="K322" s="100">
        <v>1.6</v>
      </c>
      <c r="L322" s="99">
        <v>70</v>
      </c>
      <c r="M322" s="100">
        <v>0.9</v>
      </c>
      <c r="N322" s="99">
        <v>12</v>
      </c>
      <c r="O322" s="99">
        <v>1200</v>
      </c>
      <c r="P322" s="99">
        <v>1200</v>
      </c>
      <c r="Q322" s="99">
        <v>14</v>
      </c>
      <c r="R322" s="116">
        <v>0.1</v>
      </c>
      <c r="S322" s="99">
        <v>300</v>
      </c>
      <c r="T322" s="100">
        <v>18</v>
      </c>
      <c r="U322" s="34"/>
      <c r="V322" s="35"/>
      <c r="W322" s="35"/>
      <c r="X322" s="35"/>
    </row>
    <row r="323" spans="1:24" s="1" customFormat="1" ht="11.25" customHeight="1" x14ac:dyDescent="0.2">
      <c r="A323" s="206" t="s">
        <v>55</v>
      </c>
      <c r="B323" s="207"/>
      <c r="C323" s="207"/>
      <c r="D323" s="208"/>
      <c r="E323" s="132"/>
      <c r="F323" s="114">
        <f t="shared" ref="F323:T323" si="93">F321/F322</f>
        <v>0.64847777777777782</v>
      </c>
      <c r="G323" s="115">
        <f t="shared" si="93"/>
        <v>0.57293478260869557</v>
      </c>
      <c r="H323" s="115">
        <f t="shared" si="93"/>
        <v>0.44847519582245438</v>
      </c>
      <c r="I323" s="115">
        <f t="shared" si="93"/>
        <v>0.51215441176470589</v>
      </c>
      <c r="J323" s="115">
        <f t="shared" si="93"/>
        <v>0.98928571428571432</v>
      </c>
      <c r="K323" s="115">
        <f t="shared" si="93"/>
        <v>0.69437499999999996</v>
      </c>
      <c r="L323" s="115">
        <f t="shared" si="93"/>
        <v>0.92985714285714272</v>
      </c>
      <c r="M323" s="136">
        <f t="shared" si="93"/>
        <v>72.314444444444447</v>
      </c>
      <c r="N323" s="115">
        <f t="shared" si="93"/>
        <v>0.3725</v>
      </c>
      <c r="O323" s="115">
        <f t="shared" si="93"/>
        <v>0.16145083333333332</v>
      </c>
      <c r="P323" s="115">
        <f t="shared" si="93"/>
        <v>0.63615833333333327</v>
      </c>
      <c r="Q323" s="115">
        <f t="shared" si="93"/>
        <v>0.36764285714285716</v>
      </c>
      <c r="R323" s="136">
        <f t="shared" si="93"/>
        <v>0.31000000000000005</v>
      </c>
      <c r="S323" s="115">
        <f t="shared" si="93"/>
        <v>0.87788666666666659</v>
      </c>
      <c r="T323" s="136">
        <f t="shared" si="93"/>
        <v>0.58083333333333331</v>
      </c>
      <c r="U323" s="26"/>
      <c r="V323" s="27"/>
      <c r="W323" s="27"/>
      <c r="X323" s="27"/>
    </row>
    <row r="324" spans="1:24" s="1" customFormat="1" ht="11.25" customHeight="1" x14ac:dyDescent="0.2">
      <c r="A324" s="85"/>
      <c r="B324" s="85"/>
      <c r="C324" s="137"/>
      <c r="D324" s="137"/>
      <c r="E324" s="137"/>
      <c r="F324" s="80"/>
      <c r="G324" s="81"/>
      <c r="H324" s="79"/>
      <c r="I324" s="79"/>
      <c r="J324" s="81"/>
      <c r="K324" s="81"/>
      <c r="L324" s="81"/>
      <c r="M324" s="213" t="s">
        <v>57</v>
      </c>
      <c r="N324" s="213"/>
      <c r="O324" s="213"/>
      <c r="P324" s="213"/>
      <c r="Q324" s="213"/>
      <c r="R324" s="213"/>
      <c r="S324" s="213"/>
      <c r="T324" s="213"/>
      <c r="U324" s="7"/>
      <c r="V324" s="14"/>
      <c r="W324" s="14"/>
      <c r="X324" s="14"/>
    </row>
    <row r="325" spans="1:24" s="1" customFormat="1" ht="11.25" customHeight="1" x14ac:dyDescent="0.2">
      <c r="A325" s="85"/>
      <c r="B325" s="85"/>
      <c r="C325" s="137"/>
      <c r="D325" s="137"/>
      <c r="E325" s="137"/>
      <c r="F325" s="80"/>
      <c r="G325" s="81"/>
      <c r="H325" s="79"/>
      <c r="I325" s="79"/>
      <c r="J325" s="81"/>
      <c r="K325" s="81"/>
      <c r="L325" s="81"/>
      <c r="M325" s="83"/>
      <c r="N325" s="83"/>
      <c r="O325" s="83"/>
      <c r="P325" s="83"/>
      <c r="Q325" s="83"/>
      <c r="R325" s="83"/>
      <c r="S325" s="83"/>
      <c r="T325" s="83"/>
      <c r="U325" s="7"/>
      <c r="V325" s="14"/>
      <c r="W325" s="14"/>
      <c r="X325" s="14"/>
    </row>
    <row r="326" spans="1:24" ht="11.25" customHeight="1" x14ac:dyDescent="0.2">
      <c r="A326" s="85"/>
      <c r="B326" s="85"/>
      <c r="C326" s="85"/>
      <c r="D326" s="81"/>
      <c r="E326" s="81"/>
      <c r="F326" s="82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9"/>
      <c r="V326" s="15"/>
      <c r="W326" s="15"/>
      <c r="X326" s="15"/>
    </row>
    <row r="327" spans="1:24" ht="29.25" customHeight="1" x14ac:dyDescent="0.2">
      <c r="A327" s="212" t="s">
        <v>59</v>
      </c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9"/>
      <c r="V327" s="15"/>
      <c r="W327" s="15"/>
      <c r="X327" s="15"/>
    </row>
    <row r="328" spans="1:24" ht="29.25" customHeight="1" x14ac:dyDescent="0.2">
      <c r="A328" s="85"/>
      <c r="B328" s="85"/>
      <c r="C328" s="85"/>
      <c r="D328" s="81"/>
      <c r="E328" s="81"/>
      <c r="F328" s="82"/>
      <c r="G328" s="81"/>
      <c r="H328" s="168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12"/>
      <c r="V328" s="15"/>
      <c r="W328" s="15"/>
      <c r="X328" s="15"/>
    </row>
    <row r="329" spans="1:24" s="38" customFormat="1" ht="13.5" customHeight="1" x14ac:dyDescent="0.2">
      <c r="A329" s="169"/>
      <c r="B329" s="169"/>
      <c r="C329" s="169"/>
      <c r="D329" s="169"/>
      <c r="E329" s="169"/>
      <c r="F329" s="170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39"/>
      <c r="V329" s="40"/>
      <c r="W329" s="37"/>
      <c r="X329" s="37"/>
    </row>
  </sheetData>
  <autoFilter ref="B1:B329"/>
  <mergeCells count="383">
    <mergeCell ref="B215:C215"/>
    <mergeCell ref="L264:M264"/>
    <mergeCell ref="B47:C47"/>
    <mergeCell ref="B246:C246"/>
    <mergeCell ref="A221:T221"/>
    <mergeCell ref="B223:C223"/>
    <mergeCell ref="A228:D228"/>
    <mergeCell ref="N167:Q167"/>
    <mergeCell ref="G167:I167"/>
    <mergeCell ref="W287:W289"/>
    <mergeCell ref="B277:C277"/>
    <mergeCell ref="B283:C283"/>
    <mergeCell ref="A286:T286"/>
    <mergeCell ref="W271:W272"/>
    <mergeCell ref="D265:D266"/>
    <mergeCell ref="F265:H265"/>
    <mergeCell ref="A275:T275"/>
    <mergeCell ref="B265:C266"/>
    <mergeCell ref="B281:C281"/>
    <mergeCell ref="V271:V272"/>
    <mergeCell ref="X287:X289"/>
    <mergeCell ref="B288:C288"/>
    <mergeCell ref="B203:C203"/>
    <mergeCell ref="B206:C206"/>
    <mergeCell ref="V287:V289"/>
    <mergeCell ref="A220:D220"/>
    <mergeCell ref="N231:T231"/>
    <mergeCell ref="G230:I230"/>
    <mergeCell ref="B282:C282"/>
    <mergeCell ref="B269:C269"/>
    <mergeCell ref="A211:T211"/>
    <mergeCell ref="A201:A202"/>
    <mergeCell ref="B207:C207"/>
    <mergeCell ref="B205:C205"/>
    <mergeCell ref="A204:T204"/>
    <mergeCell ref="B201:C202"/>
    <mergeCell ref="I201:I202"/>
    <mergeCell ref="B208:C208"/>
    <mergeCell ref="A210:D210"/>
    <mergeCell ref="L168:M168"/>
    <mergeCell ref="A156:D156"/>
    <mergeCell ref="B154:C154"/>
    <mergeCell ref="J169:N169"/>
    <mergeCell ref="D104:D105"/>
    <mergeCell ref="B175:C175"/>
    <mergeCell ref="A172:T172"/>
    <mergeCell ref="L167:M167"/>
    <mergeCell ref="B150:C150"/>
    <mergeCell ref="A166:T166"/>
    <mergeCell ref="A107:T107"/>
    <mergeCell ref="I104:I105"/>
    <mergeCell ref="A27:D27"/>
    <mergeCell ref="N102:Q102"/>
    <mergeCell ref="I137:I138"/>
    <mergeCell ref="D137:D138"/>
    <mergeCell ref="A137:A138"/>
    <mergeCell ref="I265:I266"/>
    <mergeCell ref="A259:D259"/>
    <mergeCell ref="O40:T40"/>
    <mergeCell ref="A67:D67"/>
    <mergeCell ref="D40:D41"/>
    <mergeCell ref="A178:D178"/>
    <mergeCell ref="A179:T179"/>
    <mergeCell ref="N135:Q135"/>
    <mergeCell ref="A100:D100"/>
    <mergeCell ref="F169:H169"/>
    <mergeCell ref="B287:C287"/>
    <mergeCell ref="B280:C280"/>
    <mergeCell ref="B276:C276"/>
    <mergeCell ref="B272:C272"/>
    <mergeCell ref="B270:C270"/>
    <mergeCell ref="A256:D256"/>
    <mergeCell ref="B278:C278"/>
    <mergeCell ref="A268:T268"/>
    <mergeCell ref="N264:T264"/>
    <mergeCell ref="A265:A266"/>
    <mergeCell ref="G263:I263"/>
    <mergeCell ref="L263:M263"/>
    <mergeCell ref="B244:C244"/>
    <mergeCell ref="B248:C248"/>
    <mergeCell ref="B254:C254"/>
    <mergeCell ref="B243:C243"/>
    <mergeCell ref="A258:D258"/>
    <mergeCell ref="B249:C249"/>
    <mergeCell ref="A292:D292"/>
    <mergeCell ref="A293:D293"/>
    <mergeCell ref="B279:C279"/>
    <mergeCell ref="G295:I295"/>
    <mergeCell ref="A285:D285"/>
    <mergeCell ref="B13:C13"/>
    <mergeCell ref="B20:C20"/>
    <mergeCell ref="B51:C51"/>
    <mergeCell ref="B21:C21"/>
    <mergeCell ref="A32:D32"/>
    <mergeCell ref="B297:C298"/>
    <mergeCell ref="B309:C309"/>
    <mergeCell ref="A297:A298"/>
    <mergeCell ref="B301:C301"/>
    <mergeCell ref="L295:M295"/>
    <mergeCell ref="B302:C302"/>
    <mergeCell ref="A300:T300"/>
    <mergeCell ref="O297:T297"/>
    <mergeCell ref="N295:Q295"/>
    <mergeCell ref="I297:I298"/>
    <mergeCell ref="J297:N297"/>
    <mergeCell ref="A323:D323"/>
    <mergeCell ref="B317:C317"/>
    <mergeCell ref="A322:D322"/>
    <mergeCell ref="B303:C303"/>
    <mergeCell ref="B304:C304"/>
    <mergeCell ref="A320:D320"/>
    <mergeCell ref="B310:C310"/>
    <mergeCell ref="A315:D315"/>
    <mergeCell ref="B308:C308"/>
    <mergeCell ref="A306:D306"/>
    <mergeCell ref="B318:C318"/>
    <mergeCell ref="M324:T324"/>
    <mergeCell ref="B312:C312"/>
    <mergeCell ref="A307:T307"/>
    <mergeCell ref="B313:C313"/>
    <mergeCell ref="A316:T316"/>
    <mergeCell ref="B311:C311"/>
    <mergeCell ref="D297:D298"/>
    <mergeCell ref="A274:D274"/>
    <mergeCell ref="J265:N265"/>
    <mergeCell ref="L296:M296"/>
    <mergeCell ref="B299:C299"/>
    <mergeCell ref="A294:T294"/>
    <mergeCell ref="N296:T296"/>
    <mergeCell ref="D296:F296"/>
    <mergeCell ref="B267:C267"/>
    <mergeCell ref="F297:H297"/>
    <mergeCell ref="B218:C218"/>
    <mergeCell ref="B234:C234"/>
    <mergeCell ref="A241:D241"/>
    <mergeCell ref="B238:C238"/>
    <mergeCell ref="N230:Q230"/>
    <mergeCell ref="O232:T232"/>
    <mergeCell ref="B222:C222"/>
    <mergeCell ref="A225:D225"/>
    <mergeCell ref="I232:I233"/>
    <mergeCell ref="A235:T235"/>
    <mergeCell ref="A232:A233"/>
    <mergeCell ref="B232:C233"/>
    <mergeCell ref="D232:D233"/>
    <mergeCell ref="B237:C237"/>
    <mergeCell ref="F232:H232"/>
    <mergeCell ref="L230:M230"/>
    <mergeCell ref="L231:M231"/>
    <mergeCell ref="G199:I199"/>
    <mergeCell ref="L199:M199"/>
    <mergeCell ref="D200:F200"/>
    <mergeCell ref="L200:M200"/>
    <mergeCell ref="B214:C214"/>
    <mergeCell ref="A229:T229"/>
    <mergeCell ref="N200:T200"/>
    <mergeCell ref="O201:T201"/>
    <mergeCell ref="J201:N201"/>
    <mergeCell ref="B216:C216"/>
    <mergeCell ref="M197:T197"/>
    <mergeCell ref="A189:T189"/>
    <mergeCell ref="A195:D195"/>
    <mergeCell ref="A196:D196"/>
    <mergeCell ref="A193:D193"/>
    <mergeCell ref="B181:C181"/>
    <mergeCell ref="B190:C190"/>
    <mergeCell ref="A188:D188"/>
    <mergeCell ref="B183:C183"/>
    <mergeCell ref="B182:C182"/>
    <mergeCell ref="B186:C186"/>
    <mergeCell ref="N168:T168"/>
    <mergeCell ref="A169:A170"/>
    <mergeCell ref="B169:C170"/>
    <mergeCell ref="D169:D170"/>
    <mergeCell ref="I169:I170"/>
    <mergeCell ref="D168:F168"/>
    <mergeCell ref="O169:T169"/>
    <mergeCell ref="B173:C173"/>
    <mergeCell ref="B176:C176"/>
    <mergeCell ref="B159:C159"/>
    <mergeCell ref="M165:T165"/>
    <mergeCell ref="A164:D164"/>
    <mergeCell ref="A161:D161"/>
    <mergeCell ref="B158:C158"/>
    <mergeCell ref="A157:T157"/>
    <mergeCell ref="A163:D163"/>
    <mergeCell ref="B148:C148"/>
    <mergeCell ref="A146:D146"/>
    <mergeCell ref="B151:C151"/>
    <mergeCell ref="B141:C141"/>
    <mergeCell ref="B143:C143"/>
    <mergeCell ref="B153:C153"/>
    <mergeCell ref="B152:C152"/>
    <mergeCell ref="B149:C149"/>
    <mergeCell ref="A147:T147"/>
    <mergeCell ref="B142:C142"/>
    <mergeCell ref="B144:C144"/>
    <mergeCell ref="B139:C139"/>
    <mergeCell ref="A140:T140"/>
    <mergeCell ref="O137:T137"/>
    <mergeCell ref="O104:T104"/>
    <mergeCell ref="F104:H104"/>
    <mergeCell ref="J104:N104"/>
    <mergeCell ref="A104:A105"/>
    <mergeCell ref="B104:C105"/>
    <mergeCell ref="D136:F136"/>
    <mergeCell ref="B90:C90"/>
    <mergeCell ref="A93:T93"/>
    <mergeCell ref="L103:M103"/>
    <mergeCell ref="B75:C75"/>
    <mergeCell ref="B95:C95"/>
    <mergeCell ref="B80:C80"/>
    <mergeCell ref="N103:T103"/>
    <mergeCell ref="A84:T84"/>
    <mergeCell ref="B79:C79"/>
    <mergeCell ref="A97:D97"/>
    <mergeCell ref="B86:C86"/>
    <mergeCell ref="A101:T101"/>
    <mergeCell ref="B88:C88"/>
    <mergeCell ref="D6:F6"/>
    <mergeCell ref="L6:M6"/>
    <mergeCell ref="B11:C11"/>
    <mergeCell ref="A35:D35"/>
    <mergeCell ref="J73:N73"/>
    <mergeCell ref="D73:D74"/>
    <mergeCell ref="B61:C61"/>
    <mergeCell ref="N72:T72"/>
    <mergeCell ref="A73:A74"/>
    <mergeCell ref="B24:C24"/>
    <mergeCell ref="N38:Q38"/>
    <mergeCell ref="N6:T6"/>
    <mergeCell ref="O7:T7"/>
    <mergeCell ref="A10:T10"/>
    <mergeCell ref="F7:H7"/>
    <mergeCell ref="I7:I8"/>
    <mergeCell ref="B29:C29"/>
    <mergeCell ref="A7:A8"/>
    <mergeCell ref="B7:C8"/>
    <mergeCell ref="B30:C30"/>
    <mergeCell ref="B19:C19"/>
    <mergeCell ref="B12:C12"/>
    <mergeCell ref="B22:C22"/>
    <mergeCell ref="A18:T18"/>
    <mergeCell ref="B23:C23"/>
    <mergeCell ref="B25:C25"/>
    <mergeCell ref="A28:T28"/>
    <mergeCell ref="M36:T36"/>
    <mergeCell ref="B9:C9"/>
    <mergeCell ref="A40:A41"/>
    <mergeCell ref="J40:N40"/>
    <mergeCell ref="F40:H40"/>
    <mergeCell ref="D39:F39"/>
    <mergeCell ref="B40:C41"/>
    <mergeCell ref="A34:D34"/>
    <mergeCell ref="L38:M38"/>
    <mergeCell ref="N39:T39"/>
    <mergeCell ref="G71:I71"/>
    <mergeCell ref="B55:C55"/>
    <mergeCell ref="A50:T50"/>
    <mergeCell ref="B54:C54"/>
    <mergeCell ref="N71:Q71"/>
    <mergeCell ref="B57:C57"/>
    <mergeCell ref="M68:T68"/>
    <mergeCell ref="I73:I74"/>
    <mergeCell ref="O73:T73"/>
    <mergeCell ref="B73:C74"/>
    <mergeCell ref="B53:C53"/>
    <mergeCell ref="A60:T60"/>
    <mergeCell ref="B77:C77"/>
    <mergeCell ref="D72:F72"/>
    <mergeCell ref="L71:M71"/>
    <mergeCell ref="B62:C62"/>
    <mergeCell ref="F73:H73"/>
    <mergeCell ref="B87:C87"/>
    <mergeCell ref="A242:T242"/>
    <mergeCell ref="B253:C253"/>
    <mergeCell ref="M260:T260"/>
    <mergeCell ref="N263:Q263"/>
    <mergeCell ref="A251:D251"/>
    <mergeCell ref="A252:T252"/>
    <mergeCell ref="B245:C245"/>
    <mergeCell ref="B247:C247"/>
    <mergeCell ref="A262:T262"/>
    <mergeCell ref="X2:X6"/>
    <mergeCell ref="J7:N7"/>
    <mergeCell ref="M2:T2"/>
    <mergeCell ref="A4:T4"/>
    <mergeCell ref="G5:I5"/>
    <mergeCell ref="B44:C44"/>
    <mergeCell ref="A43:T43"/>
    <mergeCell ref="I40:I41"/>
    <mergeCell ref="B42:C42"/>
    <mergeCell ref="B14:C14"/>
    <mergeCell ref="V2:V6"/>
    <mergeCell ref="A198:T198"/>
    <mergeCell ref="A227:D227"/>
    <mergeCell ref="B213:C213"/>
    <mergeCell ref="B185:C185"/>
    <mergeCell ref="B191:C191"/>
    <mergeCell ref="A131:D131"/>
    <mergeCell ref="B126:C126"/>
    <mergeCell ref="L72:M72"/>
    <mergeCell ref="B46:C46"/>
    <mergeCell ref="U2:U6"/>
    <mergeCell ref="A66:D66"/>
    <mergeCell ref="B108:C108"/>
    <mergeCell ref="A70:T70"/>
    <mergeCell ref="D103:F103"/>
    <mergeCell ref="B94:C94"/>
    <mergeCell ref="A76:T76"/>
    <mergeCell ref="A82:D82"/>
    <mergeCell ref="G38:I38"/>
    <mergeCell ref="B85:C85"/>
    <mergeCell ref="G102:I102"/>
    <mergeCell ref="L102:M102"/>
    <mergeCell ref="B106:C106"/>
    <mergeCell ref="B109:C109"/>
    <mergeCell ref="B111:C111"/>
    <mergeCell ref="B121:C121"/>
    <mergeCell ref="B116:C116"/>
    <mergeCell ref="B117:C117"/>
    <mergeCell ref="B118:C118"/>
    <mergeCell ref="B119:C119"/>
    <mergeCell ref="W79:W80"/>
    <mergeCell ref="B236:C236"/>
    <mergeCell ref="J232:N232"/>
    <mergeCell ref="N199:Q199"/>
    <mergeCell ref="D201:D202"/>
    <mergeCell ref="F201:H201"/>
    <mergeCell ref="B217:C217"/>
    <mergeCell ref="D231:F231"/>
    <mergeCell ref="M132:T132"/>
    <mergeCell ref="A113:D113"/>
    <mergeCell ref="A327:T327"/>
    <mergeCell ref="B239:C239"/>
    <mergeCell ref="A290:D290"/>
    <mergeCell ref="B271:C271"/>
    <mergeCell ref="B212:C212"/>
    <mergeCell ref="X79:X80"/>
    <mergeCell ref="B180:C180"/>
    <mergeCell ref="V79:V80"/>
    <mergeCell ref="A92:D92"/>
    <mergeCell ref="A99:D99"/>
    <mergeCell ref="L5:M5"/>
    <mergeCell ref="G135:I135"/>
    <mergeCell ref="A134:T134"/>
    <mergeCell ref="B125:C125"/>
    <mergeCell ref="A123:D123"/>
    <mergeCell ref="A114:T114"/>
    <mergeCell ref="B89:C89"/>
    <mergeCell ref="B110:C110"/>
    <mergeCell ref="A49:D49"/>
    <mergeCell ref="N5:Q5"/>
    <mergeCell ref="D7:D8"/>
    <mergeCell ref="B45:C45"/>
    <mergeCell ref="L39:M39"/>
    <mergeCell ref="B78:C78"/>
    <mergeCell ref="B52:C52"/>
    <mergeCell ref="B56:C56"/>
    <mergeCell ref="A64:D64"/>
    <mergeCell ref="A59:D59"/>
    <mergeCell ref="A17:D17"/>
    <mergeCell ref="A37:T37"/>
    <mergeCell ref="B115:C115"/>
    <mergeCell ref="B171:C171"/>
    <mergeCell ref="B174:C174"/>
    <mergeCell ref="B184:C184"/>
    <mergeCell ref="O265:T265"/>
    <mergeCell ref="D264:F264"/>
    <mergeCell ref="L135:M135"/>
    <mergeCell ref="A124:T124"/>
    <mergeCell ref="L136:M136"/>
    <mergeCell ref="J137:N137"/>
    <mergeCell ref="X271:X272"/>
    <mergeCell ref="B15:C15"/>
    <mergeCell ref="A1:D3"/>
    <mergeCell ref="N136:T136"/>
    <mergeCell ref="B137:C138"/>
    <mergeCell ref="A130:D130"/>
    <mergeCell ref="F137:H137"/>
    <mergeCell ref="Q1:T1"/>
    <mergeCell ref="B120:C120"/>
    <mergeCell ref="A128:D128"/>
  </mergeCells>
  <pageMargins left="0.7" right="0.7" top="0.75" bottom="0.75" header="0.3" footer="0.3"/>
  <pageSetup paperSize="9" scale="79" orientation="landscape" r:id="rId1"/>
  <rowBreaks count="10" manualBreakCount="10">
    <brk id="35" max="19" man="1"/>
    <brk id="67" max="19" man="1"/>
    <brk id="100" max="19" man="1"/>
    <brk id="131" max="16383" man="1"/>
    <brk id="164" max="19" man="1"/>
    <brk id="196" max="19" man="1"/>
    <brk id="228" max="19" man="1"/>
    <brk id="259" max="19" man="1"/>
    <brk id="293" max="19" man="1"/>
    <brk id="323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zav_karam_nijn</dc:creator>
  <cp:lastModifiedBy>1</cp:lastModifiedBy>
  <cp:revision>1</cp:revision>
  <cp:lastPrinted>2024-11-22T06:49:36Z</cp:lastPrinted>
  <dcterms:created xsi:type="dcterms:W3CDTF">2017-06-07T09:01:22Z</dcterms:created>
  <dcterms:modified xsi:type="dcterms:W3CDTF">2024-11-25T13:57:12Z</dcterms:modified>
</cp:coreProperties>
</file>